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95" windowHeight="10740" activeTab="3"/>
  </bookViews>
  <sheets>
    <sheet name="Erstattung" sheetId="1" r:id="rId1"/>
    <sheet name="Energieeinheiten-Leistung" sheetId="2" r:id="rId2"/>
    <sheet name="2009" sheetId="3" r:id="rId3"/>
    <sheet name="2008" sheetId="4" r:id="rId4"/>
    <sheet name="2007" sheetId="5" r:id="rId5"/>
    <sheet name="2006" sheetId="6" r:id="rId6"/>
    <sheet name="2005" sheetId="7" r:id="rId7"/>
    <sheet name="2004" sheetId="8" r:id="rId8"/>
    <sheet name="2003" sheetId="9" r:id="rId9"/>
    <sheet name="2002" sheetId="10" r:id="rId10"/>
    <sheet name="2001" sheetId="11" r:id="rId11"/>
    <sheet name="2000" sheetId="12" r:id="rId12"/>
    <sheet name="1999" sheetId="13" r:id="rId13"/>
    <sheet name="1998" sheetId="14" r:id="rId14"/>
    <sheet name="1997" sheetId="15" r:id="rId15"/>
    <sheet name="1996" sheetId="16" r:id="rId16"/>
    <sheet name="1995" sheetId="17" r:id="rId17"/>
    <sheet name="1994" sheetId="18" r:id="rId18"/>
    <sheet name="1993" sheetId="19" r:id="rId19"/>
    <sheet name="1992" sheetId="20" r:id="rId20"/>
    <sheet name="1991" sheetId="21" r:id="rId21"/>
    <sheet name="1990" sheetId="22" r:id="rId22"/>
    <sheet name="Tabelle" sheetId="23" r:id="rId23"/>
  </sheets>
  <definedNames/>
  <calcPr fullCalcOnLoad="1"/>
</workbook>
</file>

<file path=xl/sharedStrings.xml><?xml version="1.0" encoding="utf-8"?>
<sst xmlns="http://schemas.openxmlformats.org/spreadsheetml/2006/main" count="1488" uniqueCount="90">
  <si>
    <t>kJ</t>
  </si>
  <si>
    <t>kcal</t>
  </si>
  <si>
    <t>kWh</t>
  </si>
  <si>
    <t>kg SKE</t>
  </si>
  <si>
    <t>kg RÖE</t>
  </si>
  <si>
    <t>barrel</t>
  </si>
  <si>
    <t>m³ Erdgas</t>
  </si>
  <si>
    <t>1,76*10-7</t>
  </si>
  <si>
    <t>7,35*10-7</t>
  </si>
  <si>
    <t>Abkürzungen:</t>
  </si>
  <si>
    <t>SKE</t>
  </si>
  <si>
    <t>Steinkohleeinheiten</t>
  </si>
  <si>
    <t>RÖE</t>
  </si>
  <si>
    <t>Rohöleinheiten</t>
  </si>
  <si>
    <t>Umrechnung von Energieeinheiten</t>
  </si>
  <si>
    <t>Leistung</t>
  </si>
  <si>
    <t>kW</t>
  </si>
  <si>
    <t>Kilowatt</t>
  </si>
  <si>
    <t>PS</t>
  </si>
  <si>
    <t>Pferdestärke</t>
  </si>
  <si>
    <t>hp</t>
  </si>
  <si>
    <t>horsepower</t>
  </si>
  <si>
    <t>kpm/s</t>
  </si>
  <si>
    <t>kcal/s</t>
  </si>
  <si>
    <t>9,807*10-3</t>
  </si>
  <si>
    <t>2,342*10-3</t>
  </si>
  <si>
    <t>Bereitstellung</t>
  </si>
  <si>
    <t>bis</t>
  </si>
  <si>
    <t>Zeit:</t>
  </si>
  <si>
    <t>KJ/h</t>
  </si>
  <si>
    <t>Preis pro</t>
  </si>
  <si>
    <t>Monate</t>
  </si>
  <si>
    <t>Bereitstellungsgebühr gesamt:</t>
  </si>
  <si>
    <t>Verbrauch</t>
  </si>
  <si>
    <t>Wärme MWh</t>
  </si>
  <si>
    <t>MWh</t>
  </si>
  <si>
    <t>1. Quartal</t>
  </si>
  <si>
    <t>2. Quartal</t>
  </si>
  <si>
    <t>3. Quartal</t>
  </si>
  <si>
    <t>4. Quartal</t>
  </si>
  <si>
    <t>Netto</t>
  </si>
  <si>
    <t>MwSt</t>
  </si>
  <si>
    <t>Gesamt</t>
  </si>
  <si>
    <t>Verbrauch gesamt MWh:</t>
  </si>
  <si>
    <t>Gesamtkosten:</t>
  </si>
  <si>
    <t>Verbrauch gesamt kWh:</t>
  </si>
  <si>
    <t>Bruttopreis 1 MWh Fernwärme</t>
  </si>
  <si>
    <t>Bruttopreis 1 MWh Öl</t>
  </si>
  <si>
    <t>entspricht l Öl:</t>
  </si>
  <si>
    <t>€</t>
  </si>
  <si>
    <t>kW/h</t>
  </si>
  <si>
    <t>angenommene Betriebsstunden:</t>
  </si>
  <si>
    <t>Heizlast des Anwesens lt. Betriebsstunden:</t>
  </si>
  <si>
    <t>(abgesenkte Bestellleistung bei verlängerter Laufzeit)</t>
  </si>
  <si>
    <t>KJ/h u. Quartal</t>
  </si>
  <si>
    <t>Wärme kW/h</t>
  </si>
  <si>
    <t>Verbrauchspreis gesamt:</t>
  </si>
  <si>
    <t>KJ</t>
  </si>
  <si>
    <t>Kosten Vorjahr:</t>
  </si>
  <si>
    <t>Steigerung in %:</t>
  </si>
  <si>
    <t>Differenz pro 1 MWh</t>
  </si>
  <si>
    <t>Differenz Fernwärme zu Öl</t>
  </si>
  <si>
    <t>%</t>
  </si>
  <si>
    <t>(mittlerer Brutto-Heizölpreis pro Liter nach fastenergy - Chart)</t>
  </si>
  <si>
    <t>€/GJ</t>
  </si>
  <si>
    <t>entspricht € Öl:</t>
  </si>
  <si>
    <t>Summe Fernwärme:</t>
  </si>
  <si>
    <t>Summe Heizöl:</t>
  </si>
  <si>
    <t>(Erstattungsbeträge sind abgezogen)</t>
  </si>
  <si>
    <t>Zinssatz:</t>
  </si>
  <si>
    <t>incl. Zins</t>
  </si>
  <si>
    <t>Mehrpreis Fernwärme von 1991 bis 2009:</t>
  </si>
  <si>
    <t>zzgl. Einsparung Folgejahr</t>
  </si>
  <si>
    <t>Einsparung zu FWH</t>
  </si>
  <si>
    <t>Rückvergütung der entsprechenden Jahre:</t>
  </si>
  <si>
    <t>KK</t>
  </si>
  <si>
    <t>Wartung</t>
  </si>
  <si>
    <t>Einsparung</t>
  </si>
  <si>
    <t>minus Wartung</t>
  </si>
  <si>
    <t>ohne Zins</t>
  </si>
  <si>
    <t>KK+Wartung</t>
  </si>
  <si>
    <t>zzgl. Folgejahr</t>
  </si>
  <si>
    <t>Ainring</t>
  </si>
  <si>
    <t>€/kW Anschlussleistung/Monat</t>
  </si>
  <si>
    <t>Cent/kWh</t>
  </si>
  <si>
    <t>Ainring - Gesamtkosten-Brutto</t>
  </si>
  <si>
    <t>Bereitstellung-Jahresgebühr-Brutto</t>
  </si>
  <si>
    <t>Differenz zu Freilassing:</t>
  </si>
  <si>
    <t>Differenz zu Freilassing</t>
  </si>
  <si>
    <t>Verbrauchspreis-Jahresgebühr-Brutto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</si>
</sst>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00"/>
    <numFmt numFmtId="166" formatCode="0.0"/>
    <numFmt numFmtId="167" formatCode="0.00000"/>
    <numFmt numFmtId="168" formatCode="0.0000"/>
    <numFmt numFmtId="169" formatCode="0.000000"/>
    <numFmt numFmtId="170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53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2" fontId="3" fillId="2" borderId="4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2" fontId="0" fillId="2" borderId="4" xfId="0" applyNumberForma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2" fontId="2" fillId="2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workbookViewId="0" topLeftCell="A1">
      <selection activeCell="K2" sqref="K2"/>
    </sheetView>
  </sheetViews>
  <sheetFormatPr defaultColWidth="11.421875" defaultRowHeight="12.75"/>
  <cols>
    <col min="3" max="3" width="17.00390625" style="0" customWidth="1"/>
    <col min="4" max="4" width="13.00390625" style="0" bestFit="1" customWidth="1"/>
    <col min="5" max="5" width="17.7109375" style="0" customWidth="1"/>
    <col min="6" max="6" width="15.140625" style="0" customWidth="1"/>
    <col min="8" max="8" width="13.8515625" style="0" customWidth="1"/>
    <col min="11" max="11" width="20.140625" style="0" customWidth="1"/>
    <col min="12" max="12" width="12.57421875" style="0" bestFit="1" customWidth="1"/>
    <col min="13" max="13" width="15.28125" style="0" customWidth="1"/>
  </cols>
  <sheetData>
    <row r="2" spans="10:14" ht="12.75">
      <c r="J2" s="10" t="s">
        <v>69</v>
      </c>
      <c r="K2" s="11">
        <v>1.05</v>
      </c>
      <c r="L2" s="10" t="s">
        <v>70</v>
      </c>
      <c r="M2" s="10" t="s">
        <v>72</v>
      </c>
      <c r="N2" s="10"/>
    </row>
    <row r="3" spans="10:14" ht="12.75">
      <c r="J3" s="10"/>
      <c r="K3" s="11"/>
      <c r="L3" s="10"/>
      <c r="M3" s="10"/>
      <c r="N3" s="10"/>
    </row>
    <row r="4" spans="2:14" ht="12.75">
      <c r="B4" s="10" t="s">
        <v>74</v>
      </c>
      <c r="C4" s="10"/>
      <c r="D4" s="10"/>
      <c r="J4" s="10"/>
      <c r="K4" s="11" t="s">
        <v>73</v>
      </c>
      <c r="L4" s="10"/>
      <c r="M4" s="10"/>
      <c r="N4" s="10"/>
    </row>
    <row r="6" spans="2:13" ht="12.75">
      <c r="B6" s="10">
        <v>1990</v>
      </c>
      <c r="C6" s="10"/>
      <c r="D6" s="10">
        <v>2.05</v>
      </c>
      <c r="E6" s="10" t="s">
        <v>64</v>
      </c>
      <c r="F6" s="10"/>
      <c r="G6" s="10">
        <v>46.91</v>
      </c>
      <c r="H6" s="10" t="s">
        <v>49</v>
      </c>
      <c r="J6" s="10">
        <v>1990</v>
      </c>
      <c r="K6" s="8">
        <f>'1990'!F40</f>
        <v>992.3660136</v>
      </c>
      <c r="L6" s="7">
        <f>PRODUCT(K6*K2)</f>
        <v>1041.98431428</v>
      </c>
      <c r="M6" s="2">
        <f aca="true" t="shared" si="0" ref="M6:M24">SUM(L6+K7)</f>
        <v>2006.16823588</v>
      </c>
    </row>
    <row r="7" spans="2:13" ht="12.75">
      <c r="B7" s="10">
        <v>1993</v>
      </c>
      <c r="C7" s="10"/>
      <c r="D7" s="10"/>
      <c r="E7" s="10"/>
      <c r="F7" s="10"/>
      <c r="G7" s="10">
        <v>291.52</v>
      </c>
      <c r="H7" s="10" t="s">
        <v>49</v>
      </c>
      <c r="J7" s="10">
        <v>1991</v>
      </c>
      <c r="K7" s="8">
        <f>'1991'!F40</f>
        <v>964.1839216000001</v>
      </c>
      <c r="L7" s="7">
        <f>SUM(M6*K2)</f>
        <v>2106.476647674</v>
      </c>
      <c r="M7" s="2">
        <f t="shared" si="0"/>
        <v>3089.899215674</v>
      </c>
    </row>
    <row r="8" spans="2:13" ht="12.75">
      <c r="B8" s="10">
        <v>1994</v>
      </c>
      <c r="C8" s="10"/>
      <c r="D8" s="10"/>
      <c r="E8" s="10"/>
      <c r="F8" s="10"/>
      <c r="G8" s="10">
        <v>72.96</v>
      </c>
      <c r="H8" s="10" t="s">
        <v>49</v>
      </c>
      <c r="J8" s="10">
        <v>1992</v>
      </c>
      <c r="K8" s="8">
        <f>'1992'!F40</f>
        <v>983.422568</v>
      </c>
      <c r="L8" s="7">
        <f>PRODUCT(M7*K2)</f>
        <v>3244.3941764577003</v>
      </c>
      <c r="M8" s="2">
        <f t="shared" si="0"/>
        <v>4223.6343612577</v>
      </c>
    </row>
    <row r="9" spans="2:13" ht="12.75">
      <c r="B9" s="10">
        <v>1995</v>
      </c>
      <c r="C9" s="10"/>
      <c r="D9" s="10"/>
      <c r="E9" s="10"/>
      <c r="F9" s="10"/>
      <c r="G9" s="10">
        <v>229.59</v>
      </c>
      <c r="H9" s="10" t="s">
        <v>49</v>
      </c>
      <c r="J9" s="10">
        <v>1993</v>
      </c>
      <c r="K9" s="8">
        <f>'1993'!F40</f>
        <v>979.2401847999998</v>
      </c>
      <c r="L9" s="7">
        <f>PRODUCT(M8*K2)</f>
        <v>4434.816079320585</v>
      </c>
      <c r="M9" s="2">
        <f t="shared" si="0"/>
        <v>5429.832695320585</v>
      </c>
    </row>
    <row r="10" spans="2:13" ht="12.75">
      <c r="B10" s="10"/>
      <c r="C10" s="10"/>
      <c r="D10" s="10"/>
      <c r="E10" s="10"/>
      <c r="F10" s="10"/>
      <c r="G10" s="10"/>
      <c r="H10" s="10"/>
      <c r="J10" s="10">
        <v>1994</v>
      </c>
      <c r="K10" s="8">
        <f>'1994'!F40</f>
        <v>995.016616</v>
      </c>
      <c r="L10" s="7">
        <f>PRODUCT(M9*K2)</f>
        <v>5701.324330086614</v>
      </c>
      <c r="M10" s="2">
        <f t="shared" si="0"/>
        <v>6705.778615686614</v>
      </c>
    </row>
    <row r="11" spans="2:13" ht="12.75">
      <c r="B11" s="10"/>
      <c r="C11" s="10"/>
      <c r="D11" s="10"/>
      <c r="E11" s="10"/>
      <c r="F11" s="10"/>
      <c r="G11" s="10">
        <f>SUM(G6:G9)</f>
        <v>640.9799999999999</v>
      </c>
      <c r="H11" s="10" t="s">
        <v>49</v>
      </c>
      <c r="J11" s="10">
        <v>1995</v>
      </c>
      <c r="K11" s="8">
        <f>'1995'!F40</f>
        <v>1004.4542856</v>
      </c>
      <c r="L11" s="7">
        <f>PRODUCT(M10*K2)</f>
        <v>7041.067546470945</v>
      </c>
      <c r="M11" s="2">
        <f t="shared" si="0"/>
        <v>7960.499656070945</v>
      </c>
    </row>
    <row r="12" spans="10:13" ht="12.75">
      <c r="J12" s="10">
        <v>1996</v>
      </c>
      <c r="K12" s="8">
        <f>'1996'!F40</f>
        <v>919.4321096000001</v>
      </c>
      <c r="L12" s="7">
        <f>SUM(M11+K12)</f>
        <v>8879.931765670945</v>
      </c>
      <c r="M12" s="2">
        <f t="shared" si="0"/>
        <v>9796.865850470944</v>
      </c>
    </row>
    <row r="13" spans="2:13" ht="18">
      <c r="B13" s="17" t="s">
        <v>66</v>
      </c>
      <c r="C13" s="17"/>
      <c r="D13" s="18">
        <f>SUM('2009'!F34+'2008'!F34+'2007'!F34+'2006'!F34+'2005'!F34+'2004'!F34+'2003'!F34+'2002'!F34+'2001'!F34+'2000'!F34+'1999'!F34+'1998'!F34+'1997'!F34+'1996'!F34+'1995'!F34+'1994'!F34+'1993'!F34+'1992'!F34+'1991'!F34)</f>
        <v>34280.1286352</v>
      </c>
      <c r="E13" s="17" t="s">
        <v>49</v>
      </c>
      <c r="F13" s="17"/>
      <c r="J13" s="10">
        <v>1997</v>
      </c>
      <c r="K13" s="8">
        <f>'1997'!F40</f>
        <v>916.9340847999999</v>
      </c>
      <c r="L13" s="7">
        <f>PRODUCT(M12*K2)</f>
        <v>10286.709142994492</v>
      </c>
      <c r="M13" s="2">
        <f t="shared" si="0"/>
        <v>11298.145328594492</v>
      </c>
    </row>
    <row r="14" spans="2:13" ht="18">
      <c r="B14" s="17"/>
      <c r="C14" s="17"/>
      <c r="D14" s="17"/>
      <c r="E14" s="17"/>
      <c r="F14" s="17"/>
      <c r="J14" s="10">
        <v>1998</v>
      </c>
      <c r="K14" s="8">
        <f>'1998'!F40</f>
        <v>1011.4361856000002</v>
      </c>
      <c r="L14" s="7">
        <f>PRODUCT(M13*K2)</f>
        <v>11863.052595024217</v>
      </c>
      <c r="M14" s="2">
        <f t="shared" si="0"/>
        <v>12855.783741424217</v>
      </c>
    </row>
    <row r="15" spans="2:13" ht="18">
      <c r="B15" s="17" t="s">
        <v>67</v>
      </c>
      <c r="C15" s="17"/>
      <c r="D15" s="18">
        <f>SUM('2009'!I27+'2008'!I27+'2007'!I27+'2006'!I27+'2005'!I27+'2004'!I27+'2003'!I27+'2002'!I27+'2001'!I27+'2000'!I27+'1999'!I27+'1998'!I27+'1997'!I27+'1996'!I27+'1995'!I27+'1994'!I27+'1993'!I27+'1992'!I27+'1991'!I27)</f>
        <v>16255.562800000002</v>
      </c>
      <c r="E15" s="17" t="s">
        <v>49</v>
      </c>
      <c r="F15" s="17"/>
      <c r="J15" s="10">
        <v>1999</v>
      </c>
      <c r="K15" s="8">
        <f>'1999'!F40</f>
        <v>992.7311464000002</v>
      </c>
      <c r="L15" s="7">
        <f>PRODUCT(M14*K2)</f>
        <v>13498.572928495429</v>
      </c>
      <c r="M15" s="2">
        <f t="shared" si="0"/>
        <v>14061.157114495429</v>
      </c>
    </row>
    <row r="16" spans="2:13" ht="18">
      <c r="B16" s="17"/>
      <c r="C16" s="17"/>
      <c r="D16" s="17"/>
      <c r="E16" s="17"/>
      <c r="F16" s="17"/>
      <c r="J16" s="10">
        <v>2000</v>
      </c>
      <c r="K16" s="8">
        <f>'2000'!F40</f>
        <v>562.5841859999999</v>
      </c>
      <c r="L16" s="7">
        <f>PRODUCT(M15*K2)</f>
        <v>14764.2149702202</v>
      </c>
      <c r="M16" s="2">
        <f t="shared" si="0"/>
        <v>15354.0566250202</v>
      </c>
    </row>
    <row r="17" spans="2:13" ht="18">
      <c r="B17" s="19" t="s">
        <v>71</v>
      </c>
      <c r="C17" s="19"/>
      <c r="D17" s="19"/>
      <c r="E17" s="19"/>
      <c r="F17" s="20">
        <f>SUM(D13-D15-G11)</f>
        <v>17383.585835200003</v>
      </c>
      <c r="G17" s="19" t="s">
        <v>49</v>
      </c>
      <c r="J17" s="10">
        <v>2001</v>
      </c>
      <c r="K17" s="8">
        <f>'2001'!F40</f>
        <v>589.8416547999996</v>
      </c>
      <c r="L17" s="7">
        <f>PRODUCT(M16*K2)</f>
        <v>16121.75945627121</v>
      </c>
      <c r="M17" s="2">
        <f t="shared" si="0"/>
        <v>17237.47008867121</v>
      </c>
    </row>
    <row r="18" spans="1:13" ht="12.75">
      <c r="A18" s="14"/>
      <c r="B18" s="14" t="s">
        <v>68</v>
      </c>
      <c r="C18" s="14"/>
      <c r="D18" s="14"/>
      <c r="E18" s="14"/>
      <c r="F18" s="14"/>
      <c r="G18" s="14"/>
      <c r="J18" s="10">
        <v>2002</v>
      </c>
      <c r="K18" s="8">
        <f>'2002'!F40</f>
        <v>1115.7106324</v>
      </c>
      <c r="L18" s="7">
        <f>PRODUCT(M17*K2)</f>
        <v>18099.34359310477</v>
      </c>
      <c r="M18" s="2">
        <f t="shared" si="0"/>
        <v>19085.46644550477</v>
      </c>
    </row>
    <row r="19" spans="10:13" ht="12.75">
      <c r="J19" s="10">
        <v>2003</v>
      </c>
      <c r="K19" s="8">
        <f>'2003'!F40</f>
        <v>986.1228524</v>
      </c>
      <c r="L19" s="7">
        <f>PRODUCT(M18*K2)</f>
        <v>20039.73976778001</v>
      </c>
      <c r="M19" s="2">
        <f t="shared" si="0"/>
        <v>20990.16178018001</v>
      </c>
    </row>
    <row r="20" spans="2:13" ht="12.75">
      <c r="B20" s="10"/>
      <c r="C20" s="10"/>
      <c r="D20" s="10"/>
      <c r="E20" s="10"/>
      <c r="F20" s="10" t="s">
        <v>77</v>
      </c>
      <c r="G20" s="10"/>
      <c r="H20" s="10"/>
      <c r="J20" s="10">
        <v>2004</v>
      </c>
      <c r="K20" s="8">
        <f>'2004'!F40</f>
        <v>950.4220123999997</v>
      </c>
      <c r="L20" s="7">
        <f>PRODUCT(M19*K2)</f>
        <v>22039.669869189012</v>
      </c>
      <c r="M20" s="2">
        <f t="shared" si="0"/>
        <v>22923.53443118901</v>
      </c>
    </row>
    <row r="21" spans="2:13" ht="12.75">
      <c r="B21" s="10"/>
      <c r="C21" s="10"/>
      <c r="D21" s="10"/>
      <c r="E21" s="10"/>
      <c r="F21" s="10" t="s">
        <v>78</v>
      </c>
      <c r="G21" s="10"/>
      <c r="H21" s="10"/>
      <c r="J21" s="10">
        <v>2005</v>
      </c>
      <c r="K21" s="8">
        <f>'2005'!F40</f>
        <v>883.8645619999999</v>
      </c>
      <c r="L21" s="7">
        <f>PRODUCT(M20*K2)</f>
        <v>24069.711152748463</v>
      </c>
      <c r="M21" s="2">
        <f t="shared" si="0"/>
        <v>24739.808958748465</v>
      </c>
    </row>
    <row r="22" spans="2:13" ht="12.75">
      <c r="B22" s="10"/>
      <c r="C22" s="10" t="s">
        <v>75</v>
      </c>
      <c r="D22" s="10" t="s">
        <v>76</v>
      </c>
      <c r="E22" s="10" t="s">
        <v>80</v>
      </c>
      <c r="F22" s="10" t="s">
        <v>79</v>
      </c>
      <c r="G22" s="10" t="s">
        <v>70</v>
      </c>
      <c r="H22" s="10" t="s">
        <v>81</v>
      </c>
      <c r="J22" s="10">
        <v>2006</v>
      </c>
      <c r="K22" s="8">
        <f>'2006'!F40</f>
        <v>670.0978060000003</v>
      </c>
      <c r="L22" s="7">
        <f>PRODUCT(M21*K2)</f>
        <v>25976.79940668589</v>
      </c>
      <c r="M22" s="2">
        <f t="shared" si="0"/>
        <v>26767.434958685888</v>
      </c>
    </row>
    <row r="23" spans="10:13" ht="12.75">
      <c r="J23" s="10">
        <v>2007</v>
      </c>
      <c r="K23" s="8">
        <f>'2007'!F40</f>
        <v>790.635552</v>
      </c>
      <c r="L23" s="7">
        <f>SUM(M22*K2)</f>
        <v>28105.806706620184</v>
      </c>
      <c r="M23" s="2">
        <f t="shared" si="0"/>
        <v>29165.823781420186</v>
      </c>
    </row>
    <row r="24" spans="2:13" ht="12.75">
      <c r="B24" s="10">
        <v>1990</v>
      </c>
      <c r="C24" s="2">
        <v>47</v>
      </c>
      <c r="D24" s="2">
        <v>72</v>
      </c>
      <c r="E24" s="2">
        <f aca="true" t="shared" si="1" ref="E24:E43">SUM(C24+D24)</f>
        <v>119</v>
      </c>
      <c r="F24" s="21">
        <f aca="true" t="shared" si="2" ref="F24:F43">SUM(K6-E24)</f>
        <v>873.3660136</v>
      </c>
      <c r="G24" s="2">
        <f>PRODUCT(F24*K2)</f>
        <v>917.03431428</v>
      </c>
      <c r="H24" s="7">
        <f aca="true" t="shared" si="3" ref="H24:H29">SUM(G24+F25)</f>
        <v>1760.21823588</v>
      </c>
      <c r="J24" s="10">
        <v>2008</v>
      </c>
      <c r="K24" s="8">
        <f>'2008'!F40</f>
        <v>1060.0170748000003</v>
      </c>
      <c r="L24" s="7">
        <f>PRODUCT(M23*K2)</f>
        <v>30624.114970491195</v>
      </c>
      <c r="M24" s="2">
        <f t="shared" si="0"/>
        <v>32272.533370491197</v>
      </c>
    </row>
    <row r="25" spans="2:12" ht="12.75">
      <c r="B25" s="10">
        <v>1991</v>
      </c>
      <c r="C25" s="2">
        <v>47</v>
      </c>
      <c r="D25" s="2">
        <v>74</v>
      </c>
      <c r="E25" s="2">
        <f t="shared" si="1"/>
        <v>121</v>
      </c>
      <c r="F25" s="21">
        <f t="shared" si="2"/>
        <v>843.1839216000001</v>
      </c>
      <c r="G25" s="2">
        <f>PRODUCT(H24*K2)</f>
        <v>1848.2291476740002</v>
      </c>
      <c r="H25" s="7">
        <f t="shared" si="3"/>
        <v>2706.651715674</v>
      </c>
      <c r="J25" s="10">
        <v>2009</v>
      </c>
      <c r="K25" s="8">
        <f>'2009'!F40</f>
        <v>1648.4184000000007</v>
      </c>
      <c r="L25" s="6">
        <f>PRODUCT(M24*K2)</f>
        <v>33886.16003901576</v>
      </c>
    </row>
    <row r="26" spans="2:8" ht="12.75">
      <c r="B26" s="10">
        <v>1992</v>
      </c>
      <c r="C26" s="2">
        <v>47</v>
      </c>
      <c r="D26" s="2">
        <v>78</v>
      </c>
      <c r="E26" s="2">
        <f t="shared" si="1"/>
        <v>125</v>
      </c>
      <c r="F26" s="21">
        <f t="shared" si="2"/>
        <v>858.422568</v>
      </c>
      <c r="G26" s="2">
        <f>PRODUCT(H25*K2)</f>
        <v>2841.9843014577004</v>
      </c>
      <c r="H26" s="7">
        <f t="shared" si="3"/>
        <v>3692.1844862577004</v>
      </c>
    </row>
    <row r="27" spans="2:8" ht="12.75">
      <c r="B27" s="10">
        <v>1993</v>
      </c>
      <c r="C27" s="2">
        <v>49.04</v>
      </c>
      <c r="D27" s="2">
        <v>80</v>
      </c>
      <c r="E27" s="2">
        <f t="shared" si="1"/>
        <v>129.04</v>
      </c>
      <c r="F27" s="21">
        <f t="shared" si="2"/>
        <v>850.2001847999999</v>
      </c>
      <c r="G27" s="2">
        <f>PRODUCT(H26*K2)</f>
        <v>3876.7937105705855</v>
      </c>
      <c r="H27" s="7">
        <f t="shared" si="3"/>
        <v>4739.060326570586</v>
      </c>
    </row>
    <row r="28" spans="2:8" ht="12.75">
      <c r="B28" s="10">
        <v>1994</v>
      </c>
      <c r="C28" s="2">
        <v>50.75</v>
      </c>
      <c r="D28" s="2">
        <v>82</v>
      </c>
      <c r="E28" s="2">
        <f t="shared" si="1"/>
        <v>132.75</v>
      </c>
      <c r="F28" s="21">
        <f t="shared" si="2"/>
        <v>862.266616</v>
      </c>
      <c r="G28" s="2">
        <f>PRODUCT(H27*K2)</f>
        <v>4976.013342899116</v>
      </c>
      <c r="H28" s="7">
        <f t="shared" si="3"/>
        <v>5844.227628499116</v>
      </c>
    </row>
    <row r="29" spans="2:8" ht="12.75">
      <c r="B29" s="10">
        <v>1995</v>
      </c>
      <c r="C29" s="2">
        <v>52.24</v>
      </c>
      <c r="D29" s="2">
        <v>84</v>
      </c>
      <c r="E29" s="2">
        <f t="shared" si="1"/>
        <v>136.24</v>
      </c>
      <c r="F29" s="21">
        <f t="shared" si="2"/>
        <v>868.2142856</v>
      </c>
      <c r="G29" s="2">
        <f>PRODUCT(H28*K2)</f>
        <v>6136.439009924072</v>
      </c>
      <c r="H29" s="7">
        <f t="shared" si="3"/>
        <v>6916.131119524072</v>
      </c>
    </row>
    <row r="30" spans="2:8" ht="12.75">
      <c r="B30" s="10">
        <v>1996</v>
      </c>
      <c r="C30" s="2">
        <v>53.74</v>
      </c>
      <c r="D30" s="2">
        <v>86</v>
      </c>
      <c r="E30" s="2">
        <f t="shared" si="1"/>
        <v>139.74</v>
      </c>
      <c r="F30" s="21">
        <f t="shared" si="2"/>
        <v>779.6921096000001</v>
      </c>
      <c r="G30" s="2">
        <f>SUM(H29+F31)</f>
        <v>7690.825204324072</v>
      </c>
      <c r="H30" s="7">
        <f>PRODUCT(G30*K2)</f>
        <v>8075.366464540276</v>
      </c>
    </row>
    <row r="31" spans="2:8" ht="12.75">
      <c r="B31" s="10">
        <v>1997</v>
      </c>
      <c r="C31" s="2">
        <v>54.24</v>
      </c>
      <c r="D31" s="2">
        <v>88</v>
      </c>
      <c r="E31" s="2">
        <f t="shared" si="1"/>
        <v>142.24</v>
      </c>
      <c r="F31" s="21">
        <f t="shared" si="2"/>
        <v>774.6940847999999</v>
      </c>
      <c r="G31" s="2">
        <f aca="true" t="shared" si="4" ref="G31:G43">SUM(H30+F31)</f>
        <v>8850.060549340276</v>
      </c>
      <c r="H31" s="7">
        <f>PRODUCT(G31*K2)</f>
        <v>9292.56357680729</v>
      </c>
    </row>
    <row r="32" spans="2:8" ht="12.75">
      <c r="B32" s="10">
        <v>1998</v>
      </c>
      <c r="C32" s="2">
        <v>55.2</v>
      </c>
      <c r="D32" s="2">
        <v>90</v>
      </c>
      <c r="E32" s="2">
        <f t="shared" si="1"/>
        <v>145.2</v>
      </c>
      <c r="F32" s="21">
        <f t="shared" si="2"/>
        <v>866.2361856000002</v>
      </c>
      <c r="G32" s="2">
        <f t="shared" si="4"/>
        <v>10158.79976240729</v>
      </c>
      <c r="H32" s="7">
        <f>PRODUCT(G32*K2)</f>
        <v>10666.739750527655</v>
      </c>
    </row>
    <row r="33" spans="2:8" ht="12.75">
      <c r="B33" s="10">
        <v>1999</v>
      </c>
      <c r="C33" s="2">
        <v>56.71</v>
      </c>
      <c r="D33" s="2">
        <v>92</v>
      </c>
      <c r="E33" s="2">
        <f t="shared" si="1"/>
        <v>148.71</v>
      </c>
      <c r="F33" s="21">
        <f t="shared" si="2"/>
        <v>844.0211464000001</v>
      </c>
      <c r="G33" s="2">
        <f t="shared" si="4"/>
        <v>11510.760896927655</v>
      </c>
      <c r="H33" s="7">
        <f>PRODUCT(G33*K2)</f>
        <v>12086.29894177404</v>
      </c>
    </row>
    <row r="34" spans="2:8" ht="12.75">
      <c r="B34" s="10">
        <v>2000</v>
      </c>
      <c r="C34" s="2">
        <v>58.04</v>
      </c>
      <c r="D34" s="2">
        <v>94</v>
      </c>
      <c r="E34" s="2">
        <f t="shared" si="1"/>
        <v>152.04</v>
      </c>
      <c r="F34" s="21">
        <f t="shared" si="2"/>
        <v>410.54418599999997</v>
      </c>
      <c r="G34" s="2">
        <f t="shared" si="4"/>
        <v>12496.843127774038</v>
      </c>
      <c r="H34" s="7">
        <f>PRODUCT(G34*K2)</f>
        <v>13121.68528416274</v>
      </c>
    </row>
    <row r="35" spans="2:8" ht="12.75">
      <c r="B35" s="10">
        <v>2001</v>
      </c>
      <c r="C35" s="2">
        <v>58.04</v>
      </c>
      <c r="D35" s="2">
        <v>96</v>
      </c>
      <c r="E35" s="2">
        <f t="shared" si="1"/>
        <v>154.04</v>
      </c>
      <c r="F35" s="21">
        <f t="shared" si="2"/>
        <v>435.8016547999996</v>
      </c>
      <c r="G35" s="2">
        <f t="shared" si="4"/>
        <v>13557.48693896274</v>
      </c>
      <c r="H35" s="7">
        <f>PRODUCT(G35*K2)</f>
        <v>14235.361285910878</v>
      </c>
    </row>
    <row r="36" spans="2:8" ht="12.75">
      <c r="B36" s="10">
        <v>2002</v>
      </c>
      <c r="C36" s="2">
        <v>59.54</v>
      </c>
      <c r="D36" s="2">
        <v>98</v>
      </c>
      <c r="E36" s="2">
        <f t="shared" si="1"/>
        <v>157.54</v>
      </c>
      <c r="F36" s="21">
        <f t="shared" si="2"/>
        <v>958.1706323999999</v>
      </c>
      <c r="G36" s="2">
        <f t="shared" si="4"/>
        <v>15193.531918310879</v>
      </c>
      <c r="H36" s="7">
        <f>PRODUCT(G36*K2)</f>
        <v>15953.208514226424</v>
      </c>
    </row>
    <row r="37" spans="2:8" ht="12.75">
      <c r="B37" s="10">
        <v>2003</v>
      </c>
      <c r="C37" s="2">
        <v>61.07</v>
      </c>
      <c r="D37" s="2">
        <v>100</v>
      </c>
      <c r="E37" s="2">
        <f t="shared" si="1"/>
        <v>161.07</v>
      </c>
      <c r="F37" s="21">
        <f t="shared" si="2"/>
        <v>825.0528524000001</v>
      </c>
      <c r="G37" s="2">
        <f t="shared" si="4"/>
        <v>16778.261366626422</v>
      </c>
      <c r="H37" s="7">
        <f>PRODUCT(G37*K2)</f>
        <v>17617.174434957746</v>
      </c>
    </row>
    <row r="38" spans="2:8" ht="12.75">
      <c r="B38" s="10">
        <v>2004</v>
      </c>
      <c r="C38" s="2">
        <v>61.07</v>
      </c>
      <c r="D38" s="2">
        <v>102</v>
      </c>
      <c r="E38" s="2">
        <f t="shared" si="1"/>
        <v>163.07</v>
      </c>
      <c r="F38" s="21">
        <f t="shared" si="2"/>
        <v>787.3520123999997</v>
      </c>
      <c r="G38" s="2">
        <f t="shared" si="4"/>
        <v>18404.526447357744</v>
      </c>
      <c r="H38" s="7">
        <f>PRODUCT(G38*K2)</f>
        <v>19324.752769725634</v>
      </c>
    </row>
    <row r="39" spans="2:8" ht="12.75">
      <c r="B39" s="10">
        <v>2005</v>
      </c>
      <c r="C39" s="2">
        <v>61.94</v>
      </c>
      <c r="D39" s="2">
        <v>104</v>
      </c>
      <c r="E39" s="2">
        <f t="shared" si="1"/>
        <v>165.94</v>
      </c>
      <c r="F39" s="21">
        <f t="shared" si="2"/>
        <v>717.9245619999999</v>
      </c>
      <c r="G39" s="2">
        <f t="shared" si="4"/>
        <v>20042.677331725634</v>
      </c>
      <c r="H39" s="7">
        <f>PRODUCT(G39*K2)</f>
        <v>21044.811198311916</v>
      </c>
    </row>
    <row r="40" spans="2:8" ht="12.75">
      <c r="B40" s="10">
        <v>2006</v>
      </c>
      <c r="C40" s="2">
        <v>61.94</v>
      </c>
      <c r="D40" s="2">
        <v>106</v>
      </c>
      <c r="E40" s="2">
        <f t="shared" si="1"/>
        <v>167.94</v>
      </c>
      <c r="F40" s="21">
        <f t="shared" si="2"/>
        <v>502.15780600000033</v>
      </c>
      <c r="G40" s="2">
        <f t="shared" si="4"/>
        <v>21546.969004311915</v>
      </c>
      <c r="H40" s="7">
        <f>PRODUCT(G40*K2)</f>
        <v>22624.31745452751</v>
      </c>
    </row>
    <row r="41" spans="2:8" ht="12.75">
      <c r="B41" s="10">
        <v>2007</v>
      </c>
      <c r="C41" s="2">
        <v>63.55</v>
      </c>
      <c r="D41" s="2">
        <v>108</v>
      </c>
      <c r="E41" s="2">
        <f t="shared" si="1"/>
        <v>171.55</v>
      </c>
      <c r="F41" s="21">
        <f t="shared" si="2"/>
        <v>619.085552</v>
      </c>
      <c r="G41" s="2">
        <f t="shared" si="4"/>
        <v>23243.40300652751</v>
      </c>
      <c r="H41" s="7">
        <f>PRODUCT(G41*K2)</f>
        <v>24405.573156853887</v>
      </c>
    </row>
    <row r="42" spans="2:8" ht="12.75">
      <c r="B42" s="10">
        <v>2008</v>
      </c>
      <c r="C42" s="2">
        <v>64.14</v>
      </c>
      <c r="D42" s="2">
        <v>110</v>
      </c>
      <c r="E42" s="2">
        <f t="shared" si="1"/>
        <v>174.14</v>
      </c>
      <c r="F42" s="21">
        <f t="shared" si="2"/>
        <v>885.8770748000003</v>
      </c>
      <c r="G42" s="2">
        <f t="shared" si="4"/>
        <v>25291.450231653886</v>
      </c>
      <c r="H42" s="7">
        <f>PRODUCT(G42*K2)</f>
        <v>26556.022743236583</v>
      </c>
    </row>
    <row r="43" spans="2:8" ht="12.75">
      <c r="B43" s="10">
        <v>2009</v>
      </c>
      <c r="C43" s="2">
        <v>65</v>
      </c>
      <c r="D43" s="2">
        <v>112</v>
      </c>
      <c r="E43" s="2">
        <f t="shared" si="1"/>
        <v>177</v>
      </c>
      <c r="F43" s="21">
        <f t="shared" si="2"/>
        <v>1471.4184000000007</v>
      </c>
      <c r="G43" s="2">
        <f t="shared" si="4"/>
        <v>28027.441143236585</v>
      </c>
      <c r="H43" s="6">
        <f>PRODUCT(G43*K2)</f>
        <v>29428.813200398414</v>
      </c>
    </row>
  </sheetData>
  <sheetProtection password="CAED" sheet="1" objects="1" scenarios="1"/>
  <protectedRanges>
    <protectedRange password="CAED" sqref="K2" name="Bereich1"/>
  </protectedRange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A1">
      <selection activeCell="M4" sqref="M4:Q29"/>
    </sheetView>
  </sheetViews>
  <sheetFormatPr defaultColWidth="11.421875" defaultRowHeight="12.75"/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37257</v>
      </c>
      <c r="C7" t="s">
        <v>27</v>
      </c>
      <c r="D7" s="1">
        <v>37346</v>
      </c>
      <c r="E7" s="4">
        <v>3</v>
      </c>
      <c r="F7" s="12">
        <v>79.924</v>
      </c>
      <c r="G7" s="3">
        <f>PRODUCT(F7/3.6)</f>
        <v>22.201111111111114</v>
      </c>
      <c r="H7" s="6">
        <v>10.79</v>
      </c>
      <c r="I7" s="2">
        <f>PRODUCT(H7*3.6)</f>
        <v>38.844</v>
      </c>
      <c r="J7" s="2">
        <f>PRODUCT(F7*H7/12*E7)</f>
        <v>215.59499</v>
      </c>
      <c r="K7" s="2">
        <f>PRODUCT(G7*I7/12*E7)</f>
        <v>215.59499</v>
      </c>
      <c r="M7" s="26"/>
      <c r="N7" s="27"/>
      <c r="O7" s="27"/>
      <c r="P7" s="27"/>
      <c r="Q7" s="28"/>
    </row>
    <row r="8" spans="2:17" ht="12.75">
      <c r="B8" s="1">
        <v>37347</v>
      </c>
      <c r="C8" t="s">
        <v>27</v>
      </c>
      <c r="D8" s="1">
        <v>37437</v>
      </c>
      <c r="E8">
        <v>3</v>
      </c>
      <c r="F8" s="12">
        <v>79.924</v>
      </c>
      <c r="G8" s="3">
        <f>PRODUCT(F8/3.6)</f>
        <v>22.201111111111114</v>
      </c>
      <c r="H8" s="6">
        <v>10.79</v>
      </c>
      <c r="I8" s="2">
        <f>PRODUCT(H8*3.6)</f>
        <v>38.844</v>
      </c>
      <c r="J8" s="2">
        <f>PRODUCT(F8*H8/12*E8)</f>
        <v>215.59499</v>
      </c>
      <c r="K8" s="2">
        <f>PRODUCT(G8*I8/12*E8)</f>
        <v>215.59499</v>
      </c>
      <c r="M8" s="26"/>
      <c r="N8" s="27"/>
      <c r="O8" s="27"/>
      <c r="P8" s="27"/>
      <c r="Q8" s="28"/>
    </row>
    <row r="9" spans="2:17" ht="12.75">
      <c r="B9" s="1">
        <v>37438</v>
      </c>
      <c r="C9" t="s">
        <v>27</v>
      </c>
      <c r="D9" s="1">
        <v>37529</v>
      </c>
      <c r="E9">
        <v>3</v>
      </c>
      <c r="F9" s="12">
        <v>79.924</v>
      </c>
      <c r="G9" s="3">
        <f>PRODUCT(F9/3.6)</f>
        <v>22.201111111111114</v>
      </c>
      <c r="H9" s="6">
        <v>10.79</v>
      </c>
      <c r="I9" s="2">
        <f>PRODUCT(H9*3.6)</f>
        <v>38.844</v>
      </c>
      <c r="J9" s="2">
        <f>PRODUCT(F9*H9/12*E9)</f>
        <v>215.59499</v>
      </c>
      <c r="K9" s="2">
        <f>PRODUCT(G9*I9/12*E9)</f>
        <v>215.59499</v>
      </c>
      <c r="M9" s="26"/>
      <c r="N9" s="27"/>
      <c r="O9" s="27"/>
      <c r="P9" s="27"/>
      <c r="Q9" s="28"/>
    </row>
    <row r="10" spans="2:17" ht="12.75">
      <c r="B10" s="1">
        <v>37530</v>
      </c>
      <c r="C10" t="s">
        <v>27</v>
      </c>
      <c r="D10" s="1">
        <v>37621</v>
      </c>
      <c r="E10">
        <v>3</v>
      </c>
      <c r="F10" s="12">
        <v>79.924</v>
      </c>
      <c r="G10" s="3">
        <f>PRODUCT(F10/3.6)</f>
        <v>22.201111111111114</v>
      </c>
      <c r="H10" s="6">
        <v>10.79</v>
      </c>
      <c r="I10" s="2">
        <f>PRODUCT(H10*3.6)</f>
        <v>38.844</v>
      </c>
      <c r="J10" s="2">
        <f>PRODUCT(F10*H10/12*E10)</f>
        <v>215.59499</v>
      </c>
      <c r="K10" s="2">
        <f>PRODUCT(G10*I10/12*E10)</f>
        <v>215.59499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862.37996</v>
      </c>
      <c r="K12" s="2">
        <f>SUM(K7:K10)</f>
        <v>862.37996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37257</v>
      </c>
      <c r="C18" t="s">
        <v>27</v>
      </c>
      <c r="D18" s="1">
        <v>37346</v>
      </c>
      <c r="F18">
        <v>9.236</v>
      </c>
      <c r="G18">
        <f>PRODUCT(F18*1000)</f>
        <v>9236</v>
      </c>
      <c r="H18" s="12">
        <v>40</v>
      </c>
      <c r="J18" s="2">
        <f>PRODUCT(F18*H18)</f>
        <v>369.44000000000005</v>
      </c>
      <c r="M18" s="33">
        <f>PRODUCT(G18*N16*1.19)</f>
        <v>659.4504</v>
      </c>
      <c r="N18" s="27"/>
      <c r="O18" s="27"/>
      <c r="P18" s="27"/>
      <c r="Q18" s="28"/>
    </row>
    <row r="19" spans="2:17" ht="12.75">
      <c r="B19" s="1">
        <v>37347</v>
      </c>
      <c r="C19" t="s">
        <v>27</v>
      </c>
      <c r="D19" s="1">
        <v>37437</v>
      </c>
      <c r="F19" s="3">
        <v>4.176</v>
      </c>
      <c r="G19">
        <f>PRODUCT(F19*1000)</f>
        <v>4176</v>
      </c>
      <c r="H19" s="12">
        <v>34</v>
      </c>
      <c r="J19">
        <f>PRODUCT(F19*H19)</f>
        <v>141.984</v>
      </c>
      <c r="M19" s="33">
        <f>PRODUCT(G19*N16*1.19)</f>
        <v>298.1664</v>
      </c>
      <c r="N19" s="27"/>
      <c r="O19" s="27"/>
      <c r="P19" s="27"/>
      <c r="Q19" s="28"/>
    </row>
    <row r="20" spans="2:17" ht="12.75">
      <c r="B20" s="1">
        <v>37438</v>
      </c>
      <c r="C20" t="s">
        <v>27</v>
      </c>
      <c r="D20" s="1">
        <v>37529</v>
      </c>
      <c r="F20" s="3">
        <v>1.927</v>
      </c>
      <c r="G20">
        <f>PRODUCT(F20*1000)</f>
        <v>1927</v>
      </c>
      <c r="H20" s="12">
        <v>34</v>
      </c>
      <c r="J20" s="2">
        <f>PRODUCT(F20*H20)</f>
        <v>65.518</v>
      </c>
      <c r="M20" s="33">
        <f>PRODUCT(G20*N16*1.19)</f>
        <v>137.5878</v>
      </c>
      <c r="N20" s="27"/>
      <c r="O20" s="27"/>
      <c r="P20" s="27"/>
      <c r="Q20" s="28"/>
    </row>
    <row r="21" spans="2:17" ht="12.75">
      <c r="B21" s="1">
        <v>37530</v>
      </c>
      <c r="C21" t="s">
        <v>27</v>
      </c>
      <c r="D21" s="1">
        <v>37621</v>
      </c>
      <c r="F21" s="3">
        <v>9.175</v>
      </c>
      <c r="G21">
        <f>PRODUCT(F21*1000)</f>
        <v>9175</v>
      </c>
      <c r="H21" s="12">
        <v>34</v>
      </c>
      <c r="J21" s="2">
        <f>PRODUCT(F21*H21)</f>
        <v>311.95000000000005</v>
      </c>
      <c r="M21" s="33">
        <f>PRODUCT(G21*N16*1.19)</f>
        <v>655.095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888.8920000000002</v>
      </c>
      <c r="M23" s="29">
        <f>SUM(M18:M21)</f>
        <v>1750.2996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24.514000000000003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24514.000000000004</v>
      </c>
      <c r="H26" s="15" t="s">
        <v>48</v>
      </c>
      <c r="I26" s="16">
        <f>PRODUCT(F26/10)</f>
        <v>2451.4000000000005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968.3030000000002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2305.1053666666667</v>
      </c>
      <c r="N28" s="30" t="s">
        <v>49</v>
      </c>
      <c r="O28" s="32" t="s">
        <v>88</v>
      </c>
      <c r="P28" s="32"/>
      <c r="Q28" s="38">
        <f>SUM(F34-M28)</f>
        <v>-221.09173426666666</v>
      </c>
    </row>
    <row r="29" spans="2:17" ht="12.75">
      <c r="B29" t="s">
        <v>36</v>
      </c>
      <c r="D29" s="2">
        <f>SUM(J7+J18)</f>
        <v>585.0349900000001</v>
      </c>
      <c r="E29" s="2">
        <f>PRODUCT(D29/100*19)</f>
        <v>111.15664810000003</v>
      </c>
      <c r="F29" s="2">
        <f>SUM(D29+E29)</f>
        <v>696.1916381000001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357.57899</v>
      </c>
      <c r="E30" s="2">
        <f>SUM(D30/100*19)</f>
        <v>67.9400081</v>
      </c>
      <c r="F30" s="2">
        <f>SUM(D30+E30)</f>
        <v>425.5189981</v>
      </c>
      <c r="G30" t="s">
        <v>49</v>
      </c>
    </row>
    <row r="31" spans="2:7" ht="12.75">
      <c r="B31" t="s">
        <v>38</v>
      </c>
      <c r="D31" s="2">
        <f>SUM(J9+J20)</f>
        <v>281.11298999999997</v>
      </c>
      <c r="E31" s="2">
        <f>SUM(D31/100*19)</f>
        <v>53.41146809999999</v>
      </c>
      <c r="F31" s="2">
        <f>SUM(D31+E31)</f>
        <v>334.52445809999995</v>
      </c>
      <c r="G31" t="s">
        <v>49</v>
      </c>
    </row>
    <row r="32" spans="2:7" ht="12.75">
      <c r="B32" t="s">
        <v>39</v>
      </c>
      <c r="D32" s="2">
        <f>SUM(J10+J21)</f>
        <v>527.5449900000001</v>
      </c>
      <c r="E32" s="2">
        <f>SUM(D32/100*19)</f>
        <v>100.23354810000002</v>
      </c>
      <c r="F32" s="2">
        <f>SUM(D32+E32)</f>
        <v>627.7785381000001</v>
      </c>
      <c r="G32" t="s">
        <v>49</v>
      </c>
    </row>
    <row r="34" spans="4:11" ht="12.75">
      <c r="D34" s="10" t="s">
        <v>44</v>
      </c>
      <c r="E34" s="10"/>
      <c r="F34" s="7">
        <f>SUM(F29:F32)</f>
        <v>2084.0136324</v>
      </c>
      <c r="G34" s="10" t="s">
        <v>49</v>
      </c>
      <c r="H34" t="s">
        <v>58</v>
      </c>
      <c r="J34" s="8">
        <f>'2001'!F34</f>
        <v>1650.0836547999997</v>
      </c>
      <c r="K34" s="10" t="s">
        <v>49</v>
      </c>
    </row>
    <row r="35" spans="8:11" ht="12.75">
      <c r="H35" t="s">
        <v>59</v>
      </c>
      <c r="J35" s="8">
        <f>SUM(F34-J34)/(J34/100)</f>
        <v>26.297453243520263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85.01320194174757</v>
      </c>
      <c r="G37" s="10" t="s">
        <v>49</v>
      </c>
    </row>
    <row r="38" spans="2:8" ht="12.75">
      <c r="B38" s="10" t="s">
        <v>47</v>
      </c>
      <c r="C38" s="10"/>
      <c r="E38" s="5">
        <v>0.395</v>
      </c>
      <c r="F38" s="7">
        <f>PRODUCT(E38*100)</f>
        <v>39.5</v>
      </c>
      <c r="G38" s="10" t="s">
        <v>49</v>
      </c>
      <c r="H38" t="s">
        <v>63</v>
      </c>
    </row>
    <row r="39" spans="2:7" ht="12.75">
      <c r="B39" s="10" t="s">
        <v>60</v>
      </c>
      <c r="C39" s="10"/>
      <c r="E39" s="5"/>
      <c r="F39" s="7">
        <f>SUM(F37-F38)</f>
        <v>45.51320194174757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1115.7106324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15.321250000000003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55.15650000000001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A1">
      <selection activeCell="N34" sqref="N34"/>
    </sheetView>
  </sheetViews>
  <sheetFormatPr defaultColWidth="11.421875" defaultRowHeight="12.75"/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36892</v>
      </c>
      <c r="C7" t="s">
        <v>27</v>
      </c>
      <c r="D7" s="1">
        <v>36981</v>
      </c>
      <c r="E7" s="4">
        <v>3</v>
      </c>
      <c r="F7" s="12">
        <v>79.924</v>
      </c>
      <c r="G7" s="3">
        <f>PRODUCT(F7/3.6)</f>
        <v>22.201111111111114</v>
      </c>
      <c r="H7" s="6">
        <v>10.79</v>
      </c>
      <c r="I7" s="2">
        <f>PRODUCT(H7*3.6)</f>
        <v>38.844</v>
      </c>
      <c r="J7" s="2">
        <f>PRODUCT(F7*H7/12*E7)</f>
        <v>215.59499</v>
      </c>
      <c r="K7" s="2">
        <f>PRODUCT(G7*I7/12*E7)</f>
        <v>215.59499</v>
      </c>
      <c r="M7" s="26"/>
      <c r="N7" s="27"/>
      <c r="O7" s="27"/>
      <c r="P7" s="27"/>
      <c r="Q7" s="28"/>
    </row>
    <row r="8" spans="2:17" ht="12.75">
      <c r="B8" s="1">
        <v>36982</v>
      </c>
      <c r="C8" t="s">
        <v>27</v>
      </c>
      <c r="D8" s="1">
        <v>37072</v>
      </c>
      <c r="E8">
        <v>3</v>
      </c>
      <c r="F8" s="12">
        <v>79.924</v>
      </c>
      <c r="G8" s="3">
        <f>PRODUCT(F8/3.6)</f>
        <v>22.201111111111114</v>
      </c>
      <c r="H8" s="6">
        <v>10.79</v>
      </c>
      <c r="I8" s="2">
        <f>PRODUCT(H8*3.6)</f>
        <v>38.844</v>
      </c>
      <c r="J8" s="2">
        <f>PRODUCT(F8*H8/12*E8)</f>
        <v>215.59499</v>
      </c>
      <c r="K8" s="2">
        <f>PRODUCT(G8*I8/12*E8)</f>
        <v>215.59499</v>
      </c>
      <c r="M8" s="26"/>
      <c r="N8" s="27"/>
      <c r="O8" s="27"/>
      <c r="P8" s="27"/>
      <c r="Q8" s="28"/>
    </row>
    <row r="9" spans="2:17" ht="12.75">
      <c r="B9" s="1">
        <v>37073</v>
      </c>
      <c r="C9" t="s">
        <v>27</v>
      </c>
      <c r="D9" s="1">
        <v>37164</v>
      </c>
      <c r="E9">
        <v>3</v>
      </c>
      <c r="F9" s="12">
        <v>79.924</v>
      </c>
      <c r="G9" s="3">
        <f>PRODUCT(F9/3.6)</f>
        <v>22.201111111111114</v>
      </c>
      <c r="H9" s="6">
        <v>10.79</v>
      </c>
      <c r="I9" s="2">
        <f>PRODUCT(H9*3.6)</f>
        <v>38.844</v>
      </c>
      <c r="J9" s="2">
        <f>PRODUCT(F9*H9/12*E9)</f>
        <v>215.59499</v>
      </c>
      <c r="K9" s="2">
        <f>PRODUCT(G9*I9/12*E9)</f>
        <v>215.59499</v>
      </c>
      <c r="M9" s="26"/>
      <c r="N9" s="27"/>
      <c r="O9" s="27"/>
      <c r="P9" s="27"/>
      <c r="Q9" s="28"/>
    </row>
    <row r="10" spans="2:17" ht="12.75">
      <c r="B10" s="1">
        <v>37165</v>
      </c>
      <c r="C10" t="s">
        <v>27</v>
      </c>
      <c r="D10" s="1">
        <v>37256</v>
      </c>
      <c r="E10">
        <v>3</v>
      </c>
      <c r="F10" s="12">
        <v>79.924</v>
      </c>
      <c r="G10" s="3">
        <f>PRODUCT(F10/3.6)</f>
        <v>22.201111111111114</v>
      </c>
      <c r="H10" s="6">
        <v>10.79</v>
      </c>
      <c r="I10" s="2">
        <f>PRODUCT(H10*3.6)</f>
        <v>38.844</v>
      </c>
      <c r="J10" s="2">
        <f>PRODUCT(F10*H10/12*E10)</f>
        <v>215.59499</v>
      </c>
      <c r="K10" s="2">
        <f>PRODUCT(G10*I10/12*E10)</f>
        <v>215.59499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862.37996</v>
      </c>
      <c r="K12" s="2">
        <f>SUM(K7:K10)</f>
        <v>862.37996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36892</v>
      </c>
      <c r="C18" t="s">
        <v>27</v>
      </c>
      <c r="D18" s="1">
        <v>36981</v>
      </c>
      <c r="F18">
        <v>10.006</v>
      </c>
      <c r="G18">
        <f>PRODUCT(F18*1000)</f>
        <v>10006</v>
      </c>
      <c r="H18" s="12">
        <v>20.52</v>
      </c>
      <c r="J18" s="2">
        <f>PRODUCT(F18*H18)</f>
        <v>205.32312</v>
      </c>
      <c r="M18" s="33">
        <f>PRODUCT(G18*N16*1.19)</f>
        <v>714.4284</v>
      </c>
      <c r="N18" s="27"/>
      <c r="O18" s="27"/>
      <c r="P18" s="27"/>
      <c r="Q18" s="28"/>
    </row>
    <row r="19" spans="2:17" ht="12.75">
      <c r="B19" s="1">
        <v>36982</v>
      </c>
      <c r="C19" t="s">
        <v>27</v>
      </c>
      <c r="D19" s="1">
        <v>37072</v>
      </c>
      <c r="F19" s="3">
        <v>4.3</v>
      </c>
      <c r="G19">
        <f>PRODUCT(F19*1000)</f>
        <v>4300</v>
      </c>
      <c r="H19" s="12">
        <v>20.52</v>
      </c>
      <c r="J19">
        <f>PRODUCT(F19*H19)</f>
        <v>88.23599999999999</v>
      </c>
      <c r="M19" s="33">
        <f>PRODUCT(G19*N16*1.19)</f>
        <v>307.02</v>
      </c>
      <c r="N19" s="27"/>
      <c r="O19" s="27"/>
      <c r="P19" s="27"/>
      <c r="Q19" s="28"/>
    </row>
    <row r="20" spans="2:17" ht="12.75">
      <c r="B20" s="1">
        <v>37073</v>
      </c>
      <c r="C20" t="s">
        <v>27</v>
      </c>
      <c r="D20" s="1">
        <v>37164</v>
      </c>
      <c r="F20" s="3">
        <v>2.1</v>
      </c>
      <c r="G20">
        <f>PRODUCT(F20*1000)</f>
        <v>2100</v>
      </c>
      <c r="H20" s="12">
        <v>20.52</v>
      </c>
      <c r="J20" s="2">
        <f>PRODUCT(F20*H20)</f>
        <v>43.092</v>
      </c>
      <c r="M20" s="33">
        <f>PRODUCT(G20*N16*1.19)</f>
        <v>149.94</v>
      </c>
      <c r="N20" s="27"/>
      <c r="O20" s="27"/>
      <c r="P20" s="27"/>
      <c r="Q20" s="28"/>
    </row>
    <row r="21" spans="2:17" ht="12.75">
      <c r="B21" s="1">
        <v>37165</v>
      </c>
      <c r="C21" t="s">
        <v>27</v>
      </c>
      <c r="D21" s="1">
        <v>37256</v>
      </c>
      <c r="F21" s="3">
        <v>9.142</v>
      </c>
      <c r="G21">
        <f>PRODUCT(F21*1000)</f>
        <v>9142</v>
      </c>
      <c r="H21" s="12">
        <v>20.52</v>
      </c>
      <c r="J21" s="2">
        <f>PRODUCT(F21*H21)</f>
        <v>187.59383999999997</v>
      </c>
      <c r="M21" s="33">
        <f>PRODUCT(G21*N16*1.19)</f>
        <v>652.7388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524.24496</v>
      </c>
      <c r="M23" s="29">
        <f>SUM(M18:M21)</f>
        <v>1824.1272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25.548000000000002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25548</v>
      </c>
      <c r="H26" s="15" t="s">
        <v>48</v>
      </c>
      <c r="I26" s="16">
        <f>PRODUCT(F26/10)</f>
        <v>2554.8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1060.242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2378.9329666666667</v>
      </c>
      <c r="N28" s="30" t="s">
        <v>49</v>
      </c>
      <c r="O28" s="32" t="s">
        <v>88</v>
      </c>
      <c r="P28" s="32"/>
      <c r="Q28" s="38">
        <f>SUM(F34-M28)</f>
        <v>-728.849311866667</v>
      </c>
    </row>
    <row r="29" spans="2:17" ht="12.75">
      <c r="B29" t="s">
        <v>36</v>
      </c>
      <c r="D29" s="2">
        <f>SUM(J7+J18)</f>
        <v>420.91810999999996</v>
      </c>
      <c r="E29" s="2">
        <f>PRODUCT(D29/100*19)</f>
        <v>79.97444089999999</v>
      </c>
      <c r="F29" s="2">
        <f>SUM(D29+E29)</f>
        <v>500.89255089999995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303.83099</v>
      </c>
      <c r="E30" s="2">
        <f>SUM(D30/100*19)</f>
        <v>57.727888099999994</v>
      </c>
      <c r="F30" s="2">
        <f>SUM(D30+E30)</f>
        <v>361.55887809999996</v>
      </c>
      <c r="G30" t="s">
        <v>49</v>
      </c>
    </row>
    <row r="31" spans="2:7" ht="12.75">
      <c r="B31" t="s">
        <v>38</v>
      </c>
      <c r="D31" s="2">
        <f>SUM(J9+J20)</f>
        <v>258.68699</v>
      </c>
      <c r="E31" s="2">
        <f>SUM(D31/100*19)</f>
        <v>49.1505281</v>
      </c>
      <c r="F31" s="2">
        <f>SUM(D31+E31)</f>
        <v>307.8375181</v>
      </c>
      <c r="G31" t="s">
        <v>49</v>
      </c>
    </row>
    <row r="32" spans="2:7" ht="12.75">
      <c r="B32" t="s">
        <v>39</v>
      </c>
      <c r="D32" s="2">
        <f>SUM(J10+J21)</f>
        <v>403.18882999999994</v>
      </c>
      <c r="E32" s="2">
        <f>SUM(D32/100*19)</f>
        <v>76.6058777</v>
      </c>
      <c r="F32" s="2">
        <f>SUM(D32+E32)</f>
        <v>479.79470769999995</v>
      </c>
      <c r="G32" t="s">
        <v>49</v>
      </c>
    </row>
    <row r="34" spans="4:11" ht="12.75">
      <c r="D34" s="10" t="s">
        <v>44</v>
      </c>
      <c r="E34" s="10"/>
      <c r="F34" s="7">
        <f>SUM(F29:F32)</f>
        <v>1650.0836547999997</v>
      </c>
      <c r="G34" s="10" t="s">
        <v>49</v>
      </c>
      <c r="H34" t="s">
        <v>58</v>
      </c>
      <c r="J34" s="8">
        <f>'2000'!F34</f>
        <v>1616.4833859999999</v>
      </c>
      <c r="K34" s="10" t="s">
        <v>49</v>
      </c>
    </row>
    <row r="35" spans="8:11" ht="12.75">
      <c r="H35" t="s">
        <v>59</v>
      </c>
      <c r="J35" s="8">
        <f>SUM(F34-J34)/(J34/100)</f>
        <v>2.0786027923951624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64.58758630029746</v>
      </c>
      <c r="G37" s="10" t="s">
        <v>49</v>
      </c>
    </row>
    <row r="38" spans="2:8" ht="12.75">
      <c r="B38" s="10" t="s">
        <v>47</v>
      </c>
      <c r="C38" s="10"/>
      <c r="E38" s="5">
        <v>0.415</v>
      </c>
      <c r="F38" s="7">
        <f>PRODUCT(E38*100)</f>
        <v>41.5</v>
      </c>
      <c r="G38" s="10" t="s">
        <v>49</v>
      </c>
      <c r="H38" t="s">
        <v>63</v>
      </c>
    </row>
    <row r="39" spans="2:7" ht="12.75">
      <c r="B39" s="10" t="s">
        <v>60</v>
      </c>
      <c r="C39" s="10"/>
      <c r="E39" s="5"/>
      <c r="F39" s="7">
        <f>SUM(F37-F38)</f>
        <v>23.08758630029746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589.8416547999996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15.9675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57.483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A1">
      <selection activeCell="M4" sqref="M4:Q29"/>
    </sheetView>
  </sheetViews>
  <sheetFormatPr defaultColWidth="11.421875" defaultRowHeight="12.75"/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36526</v>
      </c>
      <c r="C7" t="s">
        <v>27</v>
      </c>
      <c r="D7" s="1">
        <v>36616</v>
      </c>
      <c r="E7" s="4">
        <v>3</v>
      </c>
      <c r="F7" s="12">
        <v>79.924</v>
      </c>
      <c r="G7" s="3">
        <f>PRODUCT(F7/3.6)</f>
        <v>22.201111111111114</v>
      </c>
      <c r="H7" s="6">
        <v>10.79</v>
      </c>
      <c r="I7" s="2">
        <f>PRODUCT(H7*3.6)</f>
        <v>38.844</v>
      </c>
      <c r="J7" s="2">
        <f>PRODUCT(F7*H7/12*E7)</f>
        <v>215.59499</v>
      </c>
      <c r="K7" s="2">
        <f>PRODUCT(G7*I7/12*E7)</f>
        <v>215.59499</v>
      </c>
      <c r="M7" s="26"/>
      <c r="N7" s="27"/>
      <c r="O7" s="27"/>
      <c r="P7" s="27"/>
      <c r="Q7" s="28"/>
    </row>
    <row r="8" spans="2:17" ht="12.75">
      <c r="B8" s="1">
        <v>36617</v>
      </c>
      <c r="C8" t="s">
        <v>27</v>
      </c>
      <c r="D8" s="1">
        <v>36707</v>
      </c>
      <c r="E8">
        <v>3</v>
      </c>
      <c r="F8" s="12">
        <v>79.924</v>
      </c>
      <c r="G8" s="3">
        <f>PRODUCT(F8/3.6)</f>
        <v>22.201111111111114</v>
      </c>
      <c r="H8" s="6">
        <v>10.79</v>
      </c>
      <c r="I8" s="2">
        <f>PRODUCT(H8*3.6)</f>
        <v>38.844</v>
      </c>
      <c r="J8" s="2">
        <f>PRODUCT(F8*H8/12*E8)</f>
        <v>215.59499</v>
      </c>
      <c r="K8" s="2">
        <f>PRODUCT(G8*I8/12*E8)</f>
        <v>215.59499</v>
      </c>
      <c r="M8" s="26"/>
      <c r="N8" s="27"/>
      <c r="O8" s="27"/>
      <c r="P8" s="27"/>
      <c r="Q8" s="28"/>
    </row>
    <row r="9" spans="2:17" ht="12.75">
      <c r="B9" s="1">
        <v>36708</v>
      </c>
      <c r="C9" t="s">
        <v>27</v>
      </c>
      <c r="D9" s="1">
        <v>36799</v>
      </c>
      <c r="E9">
        <v>3</v>
      </c>
      <c r="F9" s="12">
        <v>79.924</v>
      </c>
      <c r="G9" s="3">
        <f>PRODUCT(F9/3.6)</f>
        <v>22.201111111111114</v>
      </c>
      <c r="H9" s="6">
        <v>10.79</v>
      </c>
      <c r="I9" s="2">
        <f>PRODUCT(H9*3.6)</f>
        <v>38.844</v>
      </c>
      <c r="J9" s="2">
        <f>PRODUCT(F9*H9/12*E9)</f>
        <v>215.59499</v>
      </c>
      <c r="K9" s="2">
        <f>PRODUCT(G9*I9/12*E9)</f>
        <v>215.59499</v>
      </c>
      <c r="M9" s="26"/>
      <c r="N9" s="27"/>
      <c r="O9" s="27"/>
      <c r="P9" s="27"/>
      <c r="Q9" s="28"/>
    </row>
    <row r="10" spans="2:17" ht="12.75">
      <c r="B10" s="1">
        <v>36800</v>
      </c>
      <c r="C10" t="s">
        <v>27</v>
      </c>
      <c r="D10" s="1">
        <v>36891</v>
      </c>
      <c r="E10">
        <v>3</v>
      </c>
      <c r="F10" s="12">
        <v>79.924</v>
      </c>
      <c r="G10" s="3">
        <f>PRODUCT(F10/3.6)</f>
        <v>22.201111111111114</v>
      </c>
      <c r="H10" s="6">
        <v>10.79</v>
      </c>
      <c r="I10" s="2">
        <f>PRODUCT(H10*3.6)</f>
        <v>38.844</v>
      </c>
      <c r="J10" s="2">
        <f>PRODUCT(F10*H10/12*E10)</f>
        <v>215.59499</v>
      </c>
      <c r="K10" s="2">
        <f>PRODUCT(G10*I10/12*E10)</f>
        <v>215.59499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862.37996</v>
      </c>
      <c r="K12" s="2">
        <f>SUM(K7:K10)</f>
        <v>862.37996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36526</v>
      </c>
      <c r="C18" t="s">
        <v>27</v>
      </c>
      <c r="D18" s="1">
        <v>36616</v>
      </c>
      <c r="F18">
        <v>11.797</v>
      </c>
      <c r="G18">
        <f>PRODUCT(F18*1000)</f>
        <v>11797</v>
      </c>
      <c r="H18" s="12">
        <v>20.52</v>
      </c>
      <c r="J18" s="2">
        <f>PRODUCT(F18*H18)</f>
        <v>242.07444</v>
      </c>
      <c r="M18" s="33">
        <f>PRODUCT(G18*N16*1.19)</f>
        <v>842.3057999999999</v>
      </c>
      <c r="N18" s="27"/>
      <c r="O18" s="27"/>
      <c r="P18" s="27"/>
      <c r="Q18" s="28"/>
    </row>
    <row r="19" spans="2:17" ht="12.75">
      <c r="B19" s="1">
        <v>36617</v>
      </c>
      <c r="C19" t="s">
        <v>27</v>
      </c>
      <c r="D19" s="1">
        <v>36707</v>
      </c>
      <c r="F19" s="3">
        <v>2.94</v>
      </c>
      <c r="G19">
        <f>PRODUCT(F19*1000)</f>
        <v>2940</v>
      </c>
      <c r="H19" s="12">
        <v>20.52</v>
      </c>
      <c r="J19">
        <f>PRODUCT(F19*H19)</f>
        <v>60.3288</v>
      </c>
      <c r="M19" s="33">
        <f>PRODUCT(G19*N16*1.19)</f>
        <v>209.916</v>
      </c>
      <c r="N19" s="27"/>
      <c r="O19" s="27"/>
      <c r="P19" s="27"/>
      <c r="Q19" s="28"/>
    </row>
    <row r="20" spans="2:17" ht="12.75">
      <c r="B20" s="1">
        <v>36708</v>
      </c>
      <c r="C20" t="s">
        <v>27</v>
      </c>
      <c r="D20" s="1">
        <v>36799</v>
      </c>
      <c r="F20" s="3">
        <v>1.872</v>
      </c>
      <c r="G20">
        <f>PRODUCT(F20*1000)</f>
        <v>1872</v>
      </c>
      <c r="H20" s="12">
        <v>20.52</v>
      </c>
      <c r="J20" s="2">
        <f>PRODUCT(F20*H20)</f>
        <v>38.41344</v>
      </c>
      <c r="M20" s="33">
        <f>PRODUCT(G20*N16*1.19)</f>
        <v>133.6608</v>
      </c>
      <c r="N20" s="27"/>
      <c r="O20" s="27"/>
      <c r="P20" s="27"/>
      <c r="Q20" s="28"/>
    </row>
    <row r="21" spans="2:17" ht="12.75">
      <c r="B21" s="1">
        <v>36800</v>
      </c>
      <c r="C21" t="s">
        <v>27</v>
      </c>
      <c r="D21" s="1">
        <v>36891</v>
      </c>
      <c r="F21" s="3">
        <v>7.563</v>
      </c>
      <c r="G21">
        <f>PRODUCT(F21*1000)</f>
        <v>7563</v>
      </c>
      <c r="H21" s="12">
        <v>20.52</v>
      </c>
      <c r="J21" s="2">
        <f>PRODUCT(F21*H21)</f>
        <v>155.19276</v>
      </c>
      <c r="M21" s="33">
        <f>PRODUCT(G21*N16*1.19)</f>
        <v>539.9982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496.0094399999999</v>
      </c>
      <c r="M23" s="29">
        <f>SUM(M18:M21)</f>
        <v>1725.8808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24.172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24172</v>
      </c>
      <c r="H26" s="15" t="s">
        <v>48</v>
      </c>
      <c r="I26" s="16">
        <f>PRODUCT(F26/10)</f>
        <v>2417.2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1053.8991999999998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2280.6865666666663</v>
      </c>
      <c r="N28" s="30" t="s">
        <v>49</v>
      </c>
      <c r="O28" s="32" t="s">
        <v>88</v>
      </c>
      <c r="P28" s="32"/>
      <c r="Q28" s="38">
        <f>SUM(F34-M28)</f>
        <v>-664.2031806666664</v>
      </c>
    </row>
    <row r="29" spans="2:17" ht="12.75">
      <c r="B29" t="s">
        <v>36</v>
      </c>
      <c r="D29" s="2">
        <f>SUM(J7+J18)</f>
        <v>457.66943000000003</v>
      </c>
      <c r="E29" s="2">
        <f>PRODUCT(D29/100*19)</f>
        <v>86.95719170000001</v>
      </c>
      <c r="F29" s="2">
        <f>SUM(D29+E29)</f>
        <v>544.6266217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275.92379</v>
      </c>
      <c r="E30" s="2">
        <f>SUM(D30/100*19)</f>
        <v>52.4255201</v>
      </c>
      <c r="F30" s="2">
        <f>SUM(D30+E30)</f>
        <v>328.3493101</v>
      </c>
      <c r="G30" t="s">
        <v>49</v>
      </c>
    </row>
    <row r="31" spans="2:7" ht="12.75">
      <c r="B31" t="s">
        <v>38</v>
      </c>
      <c r="D31" s="2">
        <f>SUM(J9+J20)</f>
        <v>254.00843</v>
      </c>
      <c r="E31" s="2">
        <f>SUM(D31/100*19)</f>
        <v>48.2616017</v>
      </c>
      <c r="F31" s="2">
        <f>SUM(D31+E31)</f>
        <v>302.2700317</v>
      </c>
      <c r="G31" t="s">
        <v>49</v>
      </c>
    </row>
    <row r="32" spans="2:7" ht="12.75">
      <c r="B32" t="s">
        <v>39</v>
      </c>
      <c r="D32" s="2">
        <f>SUM(J10+J21)</f>
        <v>370.78774999999996</v>
      </c>
      <c r="E32" s="2">
        <f>SUM(D32/100*19)</f>
        <v>70.44967249999999</v>
      </c>
      <c r="F32" s="2">
        <f>SUM(D32+E32)</f>
        <v>441.2374225</v>
      </c>
      <c r="G32" t="s">
        <v>49</v>
      </c>
    </row>
    <row r="34" spans="4:11" ht="12.75">
      <c r="D34" s="10" t="s">
        <v>44</v>
      </c>
      <c r="E34" s="10"/>
      <c r="F34" s="7">
        <f>SUM(F29:F32)</f>
        <v>1616.4833859999999</v>
      </c>
      <c r="G34" s="10" t="s">
        <v>49</v>
      </c>
      <c r="H34" t="s">
        <v>58</v>
      </c>
      <c r="J34" s="8">
        <f>'1999'!F34</f>
        <v>1618.5101464</v>
      </c>
      <c r="K34" s="10" t="s">
        <v>49</v>
      </c>
    </row>
    <row r="35" spans="8:11" ht="12.75">
      <c r="H35" t="s">
        <v>59</v>
      </c>
      <c r="J35" s="8">
        <f>SUM(F34-J34)/(J34/100)</f>
        <v>-0.12522383035460824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66.87420925037233</v>
      </c>
      <c r="G37" s="10" t="s">
        <v>49</v>
      </c>
    </row>
    <row r="38" spans="2:8" ht="12.75">
      <c r="B38" s="10" t="s">
        <v>47</v>
      </c>
      <c r="C38" s="10"/>
      <c r="E38" s="5">
        <v>0.436</v>
      </c>
      <c r="F38" s="7">
        <f>PRODUCT(E38*100)</f>
        <v>43.6</v>
      </c>
      <c r="G38" s="10" t="s">
        <v>49</v>
      </c>
      <c r="H38" t="s">
        <v>63</v>
      </c>
    </row>
    <row r="39" spans="2:7" ht="12.75">
      <c r="B39" s="10" t="s">
        <v>60</v>
      </c>
      <c r="C39" s="10"/>
      <c r="E39" s="5"/>
      <c r="F39" s="7">
        <f>SUM(F37-F38)</f>
        <v>23.27420925037233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562.5841859999999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15.1075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54.387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A1">
      <selection activeCell="M4" sqref="M4:Q29"/>
    </sheetView>
  </sheetViews>
  <sheetFormatPr defaultColWidth="11.421875" defaultRowHeight="12.75"/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36161</v>
      </c>
      <c r="C7" t="s">
        <v>27</v>
      </c>
      <c r="D7" s="1">
        <v>36250</v>
      </c>
      <c r="E7" s="4">
        <v>3</v>
      </c>
      <c r="F7" s="12">
        <v>79.924</v>
      </c>
      <c r="G7" s="3">
        <f>PRODUCT(F7/3.6)</f>
        <v>22.201111111111114</v>
      </c>
      <c r="H7" s="6">
        <v>10.79</v>
      </c>
      <c r="I7" s="2">
        <f>PRODUCT(H7*3.6)</f>
        <v>38.844</v>
      </c>
      <c r="J7" s="2">
        <f>PRODUCT(F7*H7/12*E7)</f>
        <v>215.59499</v>
      </c>
      <c r="K7" s="2">
        <f>PRODUCT(G7*I7/12*E7)</f>
        <v>215.59499</v>
      </c>
      <c r="M7" s="26"/>
      <c r="N7" s="27"/>
      <c r="O7" s="27"/>
      <c r="P7" s="27"/>
      <c r="Q7" s="28"/>
    </row>
    <row r="8" spans="2:17" ht="12.75">
      <c r="B8" s="1">
        <v>36251</v>
      </c>
      <c r="C8" t="s">
        <v>27</v>
      </c>
      <c r="D8" s="1">
        <v>36341</v>
      </c>
      <c r="E8">
        <v>3</v>
      </c>
      <c r="F8" s="12">
        <v>79.924</v>
      </c>
      <c r="G8" s="3">
        <f>PRODUCT(F8/3.6)</f>
        <v>22.201111111111114</v>
      </c>
      <c r="H8" s="6">
        <v>10.79</v>
      </c>
      <c r="I8" s="2">
        <f>PRODUCT(H8*3.6)</f>
        <v>38.844</v>
      </c>
      <c r="J8" s="2">
        <f>PRODUCT(F8*H8/12*E8)</f>
        <v>215.59499</v>
      </c>
      <c r="K8" s="2">
        <f>PRODUCT(G8*I8/12*E8)</f>
        <v>215.59499</v>
      </c>
      <c r="M8" s="26"/>
      <c r="N8" s="27"/>
      <c r="O8" s="27"/>
      <c r="P8" s="27"/>
      <c r="Q8" s="28"/>
    </row>
    <row r="9" spans="2:17" ht="12.75">
      <c r="B9" s="1">
        <v>36342</v>
      </c>
      <c r="C9" t="s">
        <v>27</v>
      </c>
      <c r="D9" s="1">
        <v>36433</v>
      </c>
      <c r="E9">
        <v>3</v>
      </c>
      <c r="F9" s="12">
        <v>79.924</v>
      </c>
      <c r="G9" s="3">
        <f>PRODUCT(F9/3.6)</f>
        <v>22.201111111111114</v>
      </c>
      <c r="H9" s="6">
        <v>10.79</v>
      </c>
      <c r="I9" s="2">
        <f>PRODUCT(H9*3.6)</f>
        <v>38.844</v>
      </c>
      <c r="J9" s="2">
        <f>PRODUCT(F9*H9/12*E9)</f>
        <v>215.59499</v>
      </c>
      <c r="K9" s="2">
        <f>PRODUCT(G9*I9/12*E9)</f>
        <v>215.59499</v>
      </c>
      <c r="M9" s="26"/>
      <c r="N9" s="27"/>
      <c r="O9" s="27"/>
      <c r="P9" s="27"/>
      <c r="Q9" s="28"/>
    </row>
    <row r="10" spans="2:17" ht="12.75">
      <c r="B10" s="1">
        <v>36434</v>
      </c>
      <c r="C10" t="s">
        <v>27</v>
      </c>
      <c r="D10" s="1">
        <v>36525</v>
      </c>
      <c r="E10">
        <v>3</v>
      </c>
      <c r="F10" s="12">
        <v>79.924</v>
      </c>
      <c r="G10" s="3">
        <f>PRODUCT(F10/3.6)</f>
        <v>22.201111111111114</v>
      </c>
      <c r="H10" s="6">
        <v>10.79</v>
      </c>
      <c r="I10" s="2">
        <f>PRODUCT(H10*3.6)</f>
        <v>38.844</v>
      </c>
      <c r="J10" s="2">
        <f>PRODUCT(F10*H10/12*E10)</f>
        <v>215.59499</v>
      </c>
      <c r="K10" s="2">
        <f>PRODUCT(G10*I10/12*E10)</f>
        <v>215.59499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862.37996</v>
      </c>
      <c r="K12" s="2">
        <f>SUM(K7:K10)</f>
        <v>862.37996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36161</v>
      </c>
      <c r="C18" t="s">
        <v>27</v>
      </c>
      <c r="D18" s="1">
        <v>36250</v>
      </c>
      <c r="F18">
        <v>10.66</v>
      </c>
      <c r="G18">
        <f>PRODUCT(F18*1000)</f>
        <v>10660</v>
      </c>
      <c r="H18" s="12">
        <v>20.52</v>
      </c>
      <c r="J18" s="2">
        <f>PRODUCT(F18*H18)</f>
        <v>218.7432</v>
      </c>
      <c r="M18" s="33">
        <f>PRODUCT(G18*N16*1.19)</f>
        <v>761.124</v>
      </c>
      <c r="N18" s="27"/>
      <c r="O18" s="27"/>
      <c r="P18" s="27"/>
      <c r="Q18" s="28"/>
    </row>
    <row r="19" spans="2:17" ht="12.75">
      <c r="B19" s="1">
        <v>36251</v>
      </c>
      <c r="C19" t="s">
        <v>27</v>
      </c>
      <c r="D19" s="1">
        <v>36341</v>
      </c>
      <c r="F19" s="3">
        <v>4.02</v>
      </c>
      <c r="G19">
        <f>PRODUCT(F19*1000)</f>
        <v>4019.9999999999995</v>
      </c>
      <c r="H19" s="12">
        <v>20.52</v>
      </c>
      <c r="J19">
        <f>PRODUCT(F19*H19)</f>
        <v>82.4904</v>
      </c>
      <c r="M19" s="33">
        <f>PRODUCT(G19*N16*1.19)</f>
        <v>287.02799999999996</v>
      </c>
      <c r="N19" s="27"/>
      <c r="O19" s="27"/>
      <c r="P19" s="27"/>
      <c r="Q19" s="28"/>
    </row>
    <row r="20" spans="2:17" ht="12.75">
      <c r="B20" s="1">
        <v>36342</v>
      </c>
      <c r="C20" t="s">
        <v>27</v>
      </c>
      <c r="D20" s="1">
        <v>36433</v>
      </c>
      <c r="F20" s="3">
        <v>1.54</v>
      </c>
      <c r="G20">
        <f>PRODUCT(F20*1000)</f>
        <v>1540</v>
      </c>
      <c r="H20" s="12">
        <v>20.52</v>
      </c>
      <c r="J20" s="2">
        <f>PRODUCT(F20*H20)</f>
        <v>31.6008</v>
      </c>
      <c r="M20" s="33">
        <f>PRODUCT(G20*N16*1.19)</f>
        <v>109.95599999999999</v>
      </c>
      <c r="N20" s="27"/>
      <c r="O20" s="27"/>
      <c r="P20" s="27"/>
      <c r="Q20" s="28"/>
    </row>
    <row r="21" spans="2:17" ht="12.75">
      <c r="B21" s="1">
        <v>36434</v>
      </c>
      <c r="C21" t="s">
        <v>27</v>
      </c>
      <c r="D21" s="1">
        <v>36525</v>
      </c>
      <c r="F21" s="3">
        <v>8.035</v>
      </c>
      <c r="G21">
        <f>PRODUCT(F21*1000)</f>
        <v>8035</v>
      </c>
      <c r="H21" s="12">
        <v>20.52</v>
      </c>
      <c r="J21" s="2">
        <f>PRODUCT(F21*H21)</f>
        <v>164.8782</v>
      </c>
      <c r="M21" s="33">
        <f>PRODUCT(G21*N16*1.19)</f>
        <v>573.699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497.7126</v>
      </c>
      <c r="M23" s="29">
        <f>SUM(M18:M21)</f>
        <v>1731.8069999999998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24.255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24255</v>
      </c>
      <c r="H26" s="15" t="s">
        <v>48</v>
      </c>
      <c r="I26" s="16">
        <f>PRODUCT(F26/10)</f>
        <v>2425.5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625.779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2286.6127666666666</v>
      </c>
      <c r="N28" s="30" t="s">
        <v>49</v>
      </c>
      <c r="O28" s="32" t="s">
        <v>88</v>
      </c>
      <c r="P28" s="32"/>
      <c r="Q28" s="38">
        <f>SUM(F34-M28)</f>
        <v>-668.1026202666667</v>
      </c>
    </row>
    <row r="29" spans="2:17" ht="12.75">
      <c r="B29" t="s">
        <v>36</v>
      </c>
      <c r="D29" s="2">
        <f>SUM(J7+J18)</f>
        <v>434.33819</v>
      </c>
      <c r="E29" s="2">
        <f>PRODUCT(D29/100*19)</f>
        <v>82.5242561</v>
      </c>
      <c r="F29" s="2">
        <f>SUM(D29+E29)</f>
        <v>516.8624460999999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298.08538999999996</v>
      </c>
      <c r="E30" s="2">
        <f>SUM(D30/100*19)</f>
        <v>56.63622409999999</v>
      </c>
      <c r="F30" s="2">
        <f>SUM(D30+E30)</f>
        <v>354.72161409999995</v>
      </c>
      <c r="G30" t="s">
        <v>49</v>
      </c>
    </row>
    <row r="31" spans="2:7" ht="12.75">
      <c r="B31" t="s">
        <v>38</v>
      </c>
      <c r="D31" s="2">
        <f>SUM(J9+J20)</f>
        <v>247.19579</v>
      </c>
      <c r="E31" s="2">
        <f>SUM(D31/100*19)</f>
        <v>46.9672001</v>
      </c>
      <c r="F31" s="2">
        <f>SUM(D31+E31)</f>
        <v>294.1629901</v>
      </c>
      <c r="G31" t="s">
        <v>49</v>
      </c>
    </row>
    <row r="32" spans="2:7" ht="12.75">
      <c r="B32" t="s">
        <v>39</v>
      </c>
      <c r="D32" s="2">
        <f>SUM(J10+J21)</f>
        <v>380.47319</v>
      </c>
      <c r="E32" s="2">
        <f>SUM(D32/100*19)</f>
        <v>72.2899061</v>
      </c>
      <c r="F32" s="2">
        <f>SUM(D32+E32)</f>
        <v>452.7630961</v>
      </c>
      <c r="G32" t="s">
        <v>49</v>
      </c>
    </row>
    <row r="34" spans="4:11" ht="12.75">
      <c r="D34" s="10" t="s">
        <v>44</v>
      </c>
      <c r="E34" s="10"/>
      <c r="F34" s="7">
        <f>SUM(F29:F32)</f>
        <v>1618.5101464</v>
      </c>
      <c r="G34" s="10" t="s">
        <v>49</v>
      </c>
      <c r="H34" t="s">
        <v>58</v>
      </c>
      <c r="J34" s="8">
        <f>'1998'!F34</f>
        <v>1524.2691856000001</v>
      </c>
      <c r="K34" s="10" t="s">
        <v>49</v>
      </c>
    </row>
    <row r="35" spans="8:11" ht="12.75">
      <c r="H35" t="s">
        <v>59</v>
      </c>
      <c r="J35" s="8">
        <f>SUM(F34-J34)/(J34/100)</f>
        <v>6.1826980227841855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66.72892790764791</v>
      </c>
      <c r="G37" s="10" t="s">
        <v>49</v>
      </c>
    </row>
    <row r="38" spans="2:7" ht="12.75">
      <c r="B38" s="10" t="s">
        <v>47</v>
      </c>
      <c r="C38" s="10"/>
      <c r="E38" s="5">
        <v>0.258</v>
      </c>
      <c r="F38" s="7">
        <f>PRODUCT(E38*100)</f>
        <v>25.8</v>
      </c>
      <c r="G38" s="10" t="s">
        <v>49</v>
      </c>
    </row>
    <row r="39" spans="2:7" ht="12.75">
      <c r="B39" s="10" t="s">
        <v>60</v>
      </c>
      <c r="C39" s="10"/>
      <c r="E39" s="5"/>
      <c r="F39" s="7">
        <f>SUM(F37-F38)</f>
        <v>40.92892790764792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992.7311464000002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15.159375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54.573750000000004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A1">
      <selection activeCell="M4" sqref="M4:Q29"/>
    </sheetView>
  </sheetViews>
  <sheetFormatPr defaultColWidth="11.421875" defaultRowHeight="12.75"/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35796</v>
      </c>
      <c r="C7" t="s">
        <v>27</v>
      </c>
      <c r="D7" s="1">
        <v>35885</v>
      </c>
      <c r="E7" s="4">
        <v>3</v>
      </c>
      <c r="F7" s="12">
        <v>79.924</v>
      </c>
      <c r="G7" s="3">
        <f>PRODUCT(F7/3.6)</f>
        <v>22.201111111111114</v>
      </c>
      <c r="H7" s="6">
        <v>10.79</v>
      </c>
      <c r="I7" s="2">
        <f>PRODUCT(H7*3.6)</f>
        <v>38.844</v>
      </c>
      <c r="J7" s="2">
        <f>PRODUCT(F7*H7/12*E7)</f>
        <v>215.59499</v>
      </c>
      <c r="K7" s="2">
        <f>PRODUCT(G7*I7/12*E7)</f>
        <v>215.59499</v>
      </c>
      <c r="M7" s="26"/>
      <c r="N7" s="27"/>
      <c r="O7" s="27"/>
      <c r="P7" s="27"/>
      <c r="Q7" s="28"/>
    </row>
    <row r="8" spans="2:17" ht="12.75">
      <c r="B8" s="1">
        <v>35886</v>
      </c>
      <c r="C8" t="s">
        <v>27</v>
      </c>
      <c r="D8" s="1">
        <v>35976</v>
      </c>
      <c r="E8">
        <v>3</v>
      </c>
      <c r="F8" s="12">
        <v>79.924</v>
      </c>
      <c r="G8" s="3">
        <f>PRODUCT(F8/3.6)</f>
        <v>22.201111111111114</v>
      </c>
      <c r="H8" s="6">
        <v>10.79</v>
      </c>
      <c r="I8" s="2">
        <f>PRODUCT(H8*3.6)</f>
        <v>38.844</v>
      </c>
      <c r="J8" s="2">
        <f>PRODUCT(F8*H8/12*E8)</f>
        <v>215.59499</v>
      </c>
      <c r="K8" s="2">
        <f>PRODUCT(G8*I8/12*E8)</f>
        <v>215.59499</v>
      </c>
      <c r="M8" s="26"/>
      <c r="N8" s="27"/>
      <c r="O8" s="27"/>
      <c r="P8" s="27"/>
      <c r="Q8" s="28"/>
    </row>
    <row r="9" spans="2:17" ht="12.75">
      <c r="B9" s="1">
        <v>35977</v>
      </c>
      <c r="C9" t="s">
        <v>27</v>
      </c>
      <c r="D9" s="1">
        <v>36068</v>
      </c>
      <c r="E9">
        <v>3</v>
      </c>
      <c r="F9" s="12">
        <v>79.924</v>
      </c>
      <c r="G9" s="3">
        <f>PRODUCT(F9/3.6)</f>
        <v>22.201111111111114</v>
      </c>
      <c r="H9" s="6">
        <v>10.79</v>
      </c>
      <c r="I9" s="2">
        <f>PRODUCT(H9*3.6)</f>
        <v>38.844</v>
      </c>
      <c r="J9" s="2">
        <f>PRODUCT(F9*H9/12*E9)</f>
        <v>215.59499</v>
      </c>
      <c r="K9" s="2">
        <f>PRODUCT(G9*I9/12*E9)</f>
        <v>215.59499</v>
      </c>
      <c r="M9" s="26"/>
      <c r="N9" s="27"/>
      <c r="O9" s="27"/>
      <c r="P9" s="27"/>
      <c r="Q9" s="28"/>
    </row>
    <row r="10" spans="2:17" ht="12.75">
      <c r="B10" s="1">
        <v>36069</v>
      </c>
      <c r="C10" t="s">
        <v>27</v>
      </c>
      <c r="D10" s="1">
        <v>36160</v>
      </c>
      <c r="E10">
        <v>3</v>
      </c>
      <c r="F10" s="12">
        <v>79.924</v>
      </c>
      <c r="G10" s="3">
        <f>PRODUCT(F10/3.6)</f>
        <v>22.201111111111114</v>
      </c>
      <c r="H10" s="6">
        <v>10.79</v>
      </c>
      <c r="I10" s="2">
        <f>PRODUCT(H10*3.6)</f>
        <v>38.844</v>
      </c>
      <c r="J10" s="2">
        <f>PRODUCT(F10*H10/12*E10)</f>
        <v>215.59499</v>
      </c>
      <c r="K10" s="2">
        <f>PRODUCT(G10*I10/12*E10)</f>
        <v>215.59499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862.37996</v>
      </c>
      <c r="K12" s="2">
        <f>SUM(K7:K10)</f>
        <v>862.37996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35796</v>
      </c>
      <c r="C18" t="s">
        <v>27</v>
      </c>
      <c r="D18" s="1">
        <v>35885</v>
      </c>
      <c r="F18">
        <v>8.21</v>
      </c>
      <c r="G18">
        <f>PRODUCT(F18*1000)</f>
        <v>8210</v>
      </c>
      <c r="H18" s="12">
        <v>20.52</v>
      </c>
      <c r="J18" s="2">
        <f>PRODUCT(F18*H18)</f>
        <v>168.4692</v>
      </c>
      <c r="M18" s="33">
        <f>PRODUCT(G18*N16*1.19)</f>
        <v>586.194</v>
      </c>
      <c r="N18" s="27"/>
      <c r="O18" s="27"/>
      <c r="P18" s="27"/>
      <c r="Q18" s="28"/>
    </row>
    <row r="19" spans="2:17" ht="12.75">
      <c r="B19" s="1">
        <v>35886</v>
      </c>
      <c r="C19" t="s">
        <v>27</v>
      </c>
      <c r="D19" s="1">
        <v>35976</v>
      </c>
      <c r="F19" s="3">
        <v>3.58</v>
      </c>
      <c r="G19">
        <f>PRODUCT(F19*1000)</f>
        <v>3580</v>
      </c>
      <c r="H19" s="12">
        <v>20.52</v>
      </c>
      <c r="J19">
        <f>PRODUCT(F19*H19)</f>
        <v>73.4616</v>
      </c>
      <c r="M19" s="33">
        <f>PRODUCT(G19*N16*1.19)</f>
        <v>255.61199999999997</v>
      </c>
      <c r="N19" s="27"/>
      <c r="O19" s="27"/>
      <c r="P19" s="27"/>
      <c r="Q19" s="28"/>
    </row>
    <row r="20" spans="2:17" ht="12.75">
      <c r="B20" s="1">
        <v>35977</v>
      </c>
      <c r="C20" t="s">
        <v>27</v>
      </c>
      <c r="D20" s="1">
        <v>36068</v>
      </c>
      <c r="F20" s="3">
        <v>2.04</v>
      </c>
      <c r="G20">
        <f>PRODUCT(F20*1000)</f>
        <v>2040</v>
      </c>
      <c r="H20" s="12">
        <v>20.52</v>
      </c>
      <c r="J20" s="2">
        <f>PRODUCT(F20*H20)</f>
        <v>41.8608</v>
      </c>
      <c r="M20" s="33">
        <f>PRODUCT(G20*N16*1.19)</f>
        <v>145.65599999999998</v>
      </c>
      <c r="N20" s="27"/>
      <c r="O20" s="27"/>
      <c r="P20" s="27"/>
      <c r="Q20" s="28"/>
    </row>
    <row r="21" spans="2:17" ht="12.75">
      <c r="B21" s="1">
        <v>36069</v>
      </c>
      <c r="C21" t="s">
        <v>27</v>
      </c>
      <c r="D21" s="1">
        <v>36160</v>
      </c>
      <c r="F21" s="3">
        <v>8.18</v>
      </c>
      <c r="G21">
        <f>PRODUCT(F21*1000)</f>
        <v>8180</v>
      </c>
      <c r="H21" s="12">
        <v>20.52</v>
      </c>
      <c r="J21" s="2">
        <f>PRODUCT(F21*H21)</f>
        <v>167.8536</v>
      </c>
      <c r="M21" s="33">
        <f>PRODUCT(G21*N16*1.19)</f>
        <v>584.0519999999999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451.64520000000005</v>
      </c>
      <c r="M23" s="29">
        <f>SUM(M18:M21)</f>
        <v>1571.5139999999997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22.01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22010</v>
      </c>
      <c r="H26" s="15" t="s">
        <v>48</v>
      </c>
      <c r="I26" s="16">
        <f>PRODUCT(F26/10)</f>
        <v>2201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512.8330000000001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2126.3197666666665</v>
      </c>
      <c r="N28" s="30" t="s">
        <v>49</v>
      </c>
      <c r="O28" s="32" t="s">
        <v>88</v>
      </c>
      <c r="P28" s="32"/>
      <c r="Q28" s="38">
        <f>SUM(F34-M28)</f>
        <v>-602.0505810666664</v>
      </c>
    </row>
    <row r="29" spans="2:17" ht="12.75">
      <c r="B29" t="s">
        <v>36</v>
      </c>
      <c r="D29" s="2">
        <f>SUM(J7+J18)</f>
        <v>384.06419</v>
      </c>
      <c r="E29" s="2">
        <f>PRODUCT(D29/100*16)</f>
        <v>61.4502704</v>
      </c>
      <c r="F29" s="2">
        <f>SUM(D29+E29)</f>
        <v>445.5144604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289.05659</v>
      </c>
      <c r="E30" s="2">
        <f>SUM(D30/100*16)</f>
        <v>46.249054400000006</v>
      </c>
      <c r="F30" s="2">
        <f>SUM(D30+E30)</f>
        <v>335.3056444</v>
      </c>
      <c r="G30" t="s">
        <v>49</v>
      </c>
    </row>
    <row r="31" spans="2:7" ht="12.75">
      <c r="B31" t="s">
        <v>38</v>
      </c>
      <c r="D31" s="2">
        <f>SUM(J9+J20)</f>
        <v>257.45579</v>
      </c>
      <c r="E31" s="2">
        <f>SUM(D31/100*16)</f>
        <v>41.1929264</v>
      </c>
      <c r="F31" s="2">
        <f>SUM(D31+E31)</f>
        <v>298.64871639999996</v>
      </c>
      <c r="G31" t="s">
        <v>49</v>
      </c>
    </row>
    <row r="32" spans="2:7" ht="12.75">
      <c r="B32" t="s">
        <v>39</v>
      </c>
      <c r="D32" s="2">
        <f>SUM(J10+J21)</f>
        <v>383.44858999999997</v>
      </c>
      <c r="E32" s="2">
        <f>SUM(D32/100*16)</f>
        <v>61.3517744</v>
      </c>
      <c r="F32" s="2">
        <f>SUM(D32+E32)</f>
        <v>444.8003644</v>
      </c>
      <c r="G32" t="s">
        <v>49</v>
      </c>
    </row>
    <row r="34" spans="4:11" ht="12.75">
      <c r="D34" s="10" t="s">
        <v>44</v>
      </c>
      <c r="E34" s="10"/>
      <c r="F34" s="7">
        <f>SUM(F29:F32)</f>
        <v>1524.2691856000001</v>
      </c>
      <c r="G34" s="10" t="s">
        <v>49</v>
      </c>
      <c r="H34" t="s">
        <v>58</v>
      </c>
      <c r="J34" s="8">
        <f>'1997'!F34</f>
        <v>1462.5236848</v>
      </c>
      <c r="K34" s="10" t="s">
        <v>49</v>
      </c>
    </row>
    <row r="35" spans="8:11" ht="12.75">
      <c r="H35" t="s">
        <v>59</v>
      </c>
      <c r="J35" s="8">
        <f>SUM(F34-J34)/(J34/100)</f>
        <v>4.221846212934587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69.25348412539755</v>
      </c>
      <c r="G37" s="10" t="s">
        <v>49</v>
      </c>
    </row>
    <row r="38" spans="2:7" ht="12.75">
      <c r="B38" s="10" t="s">
        <v>47</v>
      </c>
      <c r="C38" s="10"/>
      <c r="E38" s="5">
        <v>0.233</v>
      </c>
      <c r="F38" s="7">
        <f>PRODUCT(E38*100)</f>
        <v>23.3</v>
      </c>
      <c r="G38" s="10" t="s">
        <v>49</v>
      </c>
    </row>
    <row r="39" spans="2:7" ht="12.75">
      <c r="B39" s="10" t="s">
        <v>60</v>
      </c>
      <c r="C39" s="10"/>
      <c r="E39" s="5"/>
      <c r="F39" s="7">
        <f>SUM(F37-F38)</f>
        <v>45.95348412539755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1011.4361856000002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13.75625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49.5225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A1">
      <selection activeCell="M4" sqref="M4:Q29"/>
    </sheetView>
  </sheetViews>
  <sheetFormatPr defaultColWidth="11.421875" defaultRowHeight="12.75"/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35431</v>
      </c>
      <c r="C7" t="s">
        <v>27</v>
      </c>
      <c r="D7" s="1">
        <v>35520</v>
      </c>
      <c r="E7" s="4">
        <v>3</v>
      </c>
      <c r="F7" s="12">
        <v>79.924</v>
      </c>
      <c r="G7" s="3">
        <f>PRODUCT(F7/3.6)</f>
        <v>22.201111111111114</v>
      </c>
      <c r="H7" s="6">
        <v>10.79</v>
      </c>
      <c r="I7" s="2">
        <f>PRODUCT(H7*3.6)</f>
        <v>38.844</v>
      </c>
      <c r="J7" s="2">
        <f>PRODUCT(F7*H7/12*E7)</f>
        <v>215.59499</v>
      </c>
      <c r="K7" s="2">
        <f>PRODUCT(G7*I7/12*E7)</f>
        <v>215.59499</v>
      </c>
      <c r="M7" s="26"/>
      <c r="N7" s="27"/>
      <c r="O7" s="27"/>
      <c r="P7" s="27"/>
      <c r="Q7" s="28"/>
    </row>
    <row r="8" spans="2:17" ht="12.75">
      <c r="B8" s="1">
        <v>35521</v>
      </c>
      <c r="C8" t="s">
        <v>27</v>
      </c>
      <c r="D8" s="1">
        <v>35611</v>
      </c>
      <c r="E8">
        <v>3</v>
      </c>
      <c r="F8" s="12">
        <v>79.924</v>
      </c>
      <c r="G8" s="3">
        <f>PRODUCT(F8/3.6)</f>
        <v>22.201111111111114</v>
      </c>
      <c r="H8" s="6">
        <v>10.79</v>
      </c>
      <c r="I8" s="2">
        <f>PRODUCT(H8*3.6)</f>
        <v>38.844</v>
      </c>
      <c r="J8" s="2">
        <f>PRODUCT(F8*H8/12*E8)</f>
        <v>215.59499</v>
      </c>
      <c r="K8" s="2">
        <f>PRODUCT(G8*I8/12*E8)</f>
        <v>215.59499</v>
      </c>
      <c r="M8" s="26"/>
      <c r="N8" s="27"/>
      <c r="O8" s="27"/>
      <c r="P8" s="27"/>
      <c r="Q8" s="28"/>
    </row>
    <row r="9" spans="2:17" ht="12.75">
      <c r="B9" s="1">
        <v>35612</v>
      </c>
      <c r="C9" t="s">
        <v>27</v>
      </c>
      <c r="D9" s="1">
        <v>35703</v>
      </c>
      <c r="E9">
        <v>3</v>
      </c>
      <c r="F9" s="12">
        <v>79.924</v>
      </c>
      <c r="G9" s="3">
        <f>PRODUCT(F9/3.6)</f>
        <v>22.201111111111114</v>
      </c>
      <c r="H9" s="6">
        <v>10.79</v>
      </c>
      <c r="I9" s="2">
        <f>PRODUCT(H9*3.6)</f>
        <v>38.844</v>
      </c>
      <c r="J9" s="2">
        <f>PRODUCT(F9*H9/12*E9)</f>
        <v>215.59499</v>
      </c>
      <c r="K9" s="2">
        <f>PRODUCT(G9*I9/12*E9)</f>
        <v>215.59499</v>
      </c>
      <c r="M9" s="26"/>
      <c r="N9" s="27"/>
      <c r="O9" s="27"/>
      <c r="P9" s="27"/>
      <c r="Q9" s="28"/>
    </row>
    <row r="10" spans="2:17" ht="12.75">
      <c r="B10" s="1">
        <v>35704</v>
      </c>
      <c r="C10" t="s">
        <v>27</v>
      </c>
      <c r="D10" s="1">
        <v>35795</v>
      </c>
      <c r="E10">
        <v>3</v>
      </c>
      <c r="F10" s="12">
        <v>79.924</v>
      </c>
      <c r="G10" s="3">
        <f>PRODUCT(F10/3.6)</f>
        <v>22.201111111111114</v>
      </c>
      <c r="H10" s="6">
        <v>10.79</v>
      </c>
      <c r="I10" s="2">
        <f>PRODUCT(H10*3.6)</f>
        <v>38.844</v>
      </c>
      <c r="J10" s="2">
        <f>PRODUCT(F10*H10/12*E10)</f>
        <v>215.59499</v>
      </c>
      <c r="K10" s="2">
        <f>PRODUCT(G10*I10/12*E10)</f>
        <v>215.59499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862.37996</v>
      </c>
      <c r="K12" s="2">
        <f>SUM(K7:K10)</f>
        <v>862.37996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35431</v>
      </c>
      <c r="C18" t="s">
        <v>27</v>
      </c>
      <c r="D18" s="1">
        <v>35520</v>
      </c>
      <c r="F18">
        <v>3.905</v>
      </c>
      <c r="G18">
        <f>PRODUCT(F18*1000)</f>
        <v>3905</v>
      </c>
      <c r="H18" s="12">
        <v>20.52</v>
      </c>
      <c r="J18" s="2">
        <f>PRODUCT(F18*H18)</f>
        <v>80.1306</v>
      </c>
      <c r="M18" s="33">
        <f>PRODUCT(G18*N16*1.19)</f>
        <v>278.81699999999995</v>
      </c>
      <c r="N18" s="27"/>
      <c r="O18" s="27"/>
      <c r="P18" s="27"/>
      <c r="Q18" s="28"/>
    </row>
    <row r="19" spans="2:17" ht="12.75">
      <c r="B19" s="1">
        <v>35521</v>
      </c>
      <c r="C19" t="s">
        <v>27</v>
      </c>
      <c r="D19" s="1">
        <v>35611</v>
      </c>
      <c r="F19" s="3">
        <v>1.561</v>
      </c>
      <c r="G19">
        <v>1561</v>
      </c>
      <c r="H19" s="12">
        <v>20.52</v>
      </c>
      <c r="J19">
        <f>PRODUCT(F19*H19)</f>
        <v>32.03172</v>
      </c>
      <c r="M19" s="33">
        <f>PRODUCT(G19*N16*1.19)</f>
        <v>111.4554</v>
      </c>
      <c r="N19" s="27"/>
      <c r="O19" s="27"/>
      <c r="P19" s="27"/>
      <c r="Q19" s="28"/>
    </row>
    <row r="20" spans="2:17" ht="12.75">
      <c r="B20" s="1">
        <v>35612</v>
      </c>
      <c r="C20" t="s">
        <v>27</v>
      </c>
      <c r="D20" s="1">
        <v>35703</v>
      </c>
      <c r="F20" s="3">
        <v>4.81</v>
      </c>
      <c r="G20">
        <f>PRODUCT(F20*1000)</f>
        <v>4810</v>
      </c>
      <c r="H20" s="12">
        <v>20.52</v>
      </c>
      <c r="J20" s="2">
        <f>PRODUCT(F20*H20)</f>
        <v>98.70119999999999</v>
      </c>
      <c r="M20" s="33">
        <f>PRODUCT(G20*N16*1.19)</f>
        <v>343.43399999999997</v>
      </c>
      <c r="N20" s="27"/>
      <c r="O20" s="27"/>
      <c r="P20" s="27"/>
      <c r="Q20" s="28"/>
    </row>
    <row r="21" spans="2:17" ht="12.75">
      <c r="B21" s="1">
        <v>35704</v>
      </c>
      <c r="C21" t="s">
        <v>27</v>
      </c>
      <c r="D21" s="1">
        <v>35795</v>
      </c>
      <c r="F21" s="3">
        <v>9.14</v>
      </c>
      <c r="G21">
        <f>PRODUCT(F21*1000)</f>
        <v>9140</v>
      </c>
      <c r="H21" s="12">
        <v>20.52</v>
      </c>
      <c r="J21" s="2">
        <f>PRODUCT(F21*H21)</f>
        <v>187.55280000000002</v>
      </c>
      <c r="M21" s="33">
        <f>PRODUCT(G21*N16*1.19)</f>
        <v>652.5959999999999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398.41632000000004</v>
      </c>
      <c r="M23" s="29">
        <f>SUM(M18:M21)</f>
        <v>1386.3023999999998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19.416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19416</v>
      </c>
      <c r="H26" s="15" t="s">
        <v>48</v>
      </c>
      <c r="I26" s="16">
        <f>PRODUCT(F26/10)</f>
        <v>1941.6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545.5896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1941.1081666666664</v>
      </c>
      <c r="N28" s="30" t="s">
        <v>49</v>
      </c>
      <c r="O28" s="32" t="s">
        <v>88</v>
      </c>
      <c r="P28" s="32"/>
      <c r="Q28" s="38">
        <f>SUM(F34-M28)</f>
        <v>-478.58448186666647</v>
      </c>
    </row>
    <row r="29" spans="2:17" ht="12.75">
      <c r="B29" t="s">
        <v>36</v>
      </c>
      <c r="D29" s="2">
        <f>SUM(J7+J18)</f>
        <v>295.72559</v>
      </c>
      <c r="E29" s="2">
        <f>PRODUCT(D29/100*16)</f>
        <v>47.316094400000004</v>
      </c>
      <c r="F29" s="2">
        <f>SUM(D29+E29)</f>
        <v>343.0416844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247.62671</v>
      </c>
      <c r="E30" s="2">
        <f>SUM(D30/100*16)</f>
        <v>39.6202736</v>
      </c>
      <c r="F30" s="2">
        <f>SUM(D30+E30)</f>
        <v>287.2469836</v>
      </c>
      <c r="G30" t="s">
        <v>49</v>
      </c>
    </row>
    <row r="31" spans="2:7" ht="12.75">
      <c r="B31" t="s">
        <v>38</v>
      </c>
      <c r="D31" s="2">
        <f>SUM(J9+J20)</f>
        <v>314.29618999999997</v>
      </c>
      <c r="E31" s="2">
        <f>SUM(D31/100*16)</f>
        <v>50.28739039999999</v>
      </c>
      <c r="F31" s="2">
        <f>SUM(D31+E31)</f>
        <v>364.58358039999996</v>
      </c>
      <c r="G31" t="s">
        <v>49</v>
      </c>
    </row>
    <row r="32" spans="2:7" ht="12.75">
      <c r="B32" t="s">
        <v>39</v>
      </c>
      <c r="D32" s="2">
        <f>SUM(J10+J21)</f>
        <v>403.14779</v>
      </c>
      <c r="E32" s="2">
        <f>SUM(D32/100*16)</f>
        <v>64.5036464</v>
      </c>
      <c r="F32" s="2">
        <f>SUM(D32+E32)</f>
        <v>467.65143639999997</v>
      </c>
      <c r="G32" t="s">
        <v>49</v>
      </c>
    </row>
    <row r="34" spans="4:11" ht="12.75">
      <c r="D34" s="10" t="s">
        <v>44</v>
      </c>
      <c r="E34" s="10"/>
      <c r="F34" s="7">
        <f>SUM(F29:F32)</f>
        <v>1462.5236848</v>
      </c>
      <c r="G34" s="10" t="s">
        <v>49</v>
      </c>
      <c r="H34" t="s">
        <v>58</v>
      </c>
      <c r="J34" s="8">
        <f>'1996'!F34</f>
        <v>1207.5676096</v>
      </c>
      <c r="K34" s="10" t="s">
        <v>49</v>
      </c>
    </row>
    <row r="35" spans="8:11" ht="12.75">
      <c r="H35" t="s">
        <v>59</v>
      </c>
      <c r="J35" s="8">
        <f>SUM(F34-J34)/(J34/100)</f>
        <v>21.113192600822803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75.32569451998351</v>
      </c>
      <c r="G37" s="10" t="s">
        <v>49</v>
      </c>
    </row>
    <row r="38" spans="2:7" ht="12.75">
      <c r="B38" s="10" t="s">
        <v>47</v>
      </c>
      <c r="C38" s="10"/>
      <c r="E38" s="5">
        <v>0.281</v>
      </c>
      <c r="F38" s="7">
        <f>PRODUCT(E38*100)</f>
        <v>28.1</v>
      </c>
      <c r="G38" s="10" t="s">
        <v>49</v>
      </c>
    </row>
    <row r="39" spans="2:7" ht="12.75">
      <c r="B39" s="10" t="s">
        <v>60</v>
      </c>
      <c r="C39" s="10"/>
      <c r="E39" s="5"/>
      <c r="F39" s="7">
        <f>SUM(F37-F38)</f>
        <v>47.22569451998351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916.9340847999999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12.135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43.686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A1">
      <selection activeCell="M4" sqref="M4:Q29"/>
    </sheetView>
  </sheetViews>
  <sheetFormatPr defaultColWidth="11.421875" defaultRowHeight="12.75"/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35065</v>
      </c>
      <c r="C7" t="s">
        <v>27</v>
      </c>
      <c r="D7" s="1">
        <v>35155</v>
      </c>
      <c r="E7" s="4">
        <v>3</v>
      </c>
      <c r="F7" s="12">
        <v>79.924</v>
      </c>
      <c r="G7" s="3">
        <f>PRODUCT(F7/3.6)</f>
        <v>22.201111111111114</v>
      </c>
      <c r="H7" s="6">
        <v>10.79</v>
      </c>
      <c r="I7" s="2">
        <f>PRODUCT(H7*3.6)</f>
        <v>38.844</v>
      </c>
      <c r="J7" s="2">
        <f>PRODUCT(F7*H7/12*E7)</f>
        <v>215.59499</v>
      </c>
      <c r="K7" s="2">
        <f>PRODUCT(G7*I7/12*E7)</f>
        <v>215.59499</v>
      </c>
      <c r="M7" s="26"/>
      <c r="N7" s="27"/>
      <c r="O7" s="27"/>
      <c r="P7" s="27"/>
      <c r="Q7" s="28"/>
    </row>
    <row r="8" spans="2:17" ht="12.75">
      <c r="B8" s="1">
        <v>35156</v>
      </c>
      <c r="C8" t="s">
        <v>27</v>
      </c>
      <c r="D8" s="1">
        <v>35246</v>
      </c>
      <c r="E8">
        <v>3</v>
      </c>
      <c r="F8" s="12">
        <v>79.924</v>
      </c>
      <c r="G8" s="3">
        <f>PRODUCT(F8/3.6)</f>
        <v>22.201111111111114</v>
      </c>
      <c r="H8" s="6">
        <v>10.79</v>
      </c>
      <c r="I8" s="2">
        <f>PRODUCT(H8*3.6)</f>
        <v>38.844</v>
      </c>
      <c r="J8" s="2">
        <f>PRODUCT(F8*H8/12*E8)</f>
        <v>215.59499</v>
      </c>
      <c r="K8" s="2">
        <f>PRODUCT(G8*I8/12*E8)</f>
        <v>215.59499</v>
      </c>
      <c r="M8" s="26"/>
      <c r="N8" s="27"/>
      <c r="O8" s="27"/>
      <c r="P8" s="27"/>
      <c r="Q8" s="28"/>
    </row>
    <row r="9" spans="2:17" ht="12.75">
      <c r="B9" s="1">
        <v>35247</v>
      </c>
      <c r="C9" t="s">
        <v>27</v>
      </c>
      <c r="D9" s="1">
        <v>35338</v>
      </c>
      <c r="E9">
        <v>3</v>
      </c>
      <c r="F9" s="12">
        <v>79.924</v>
      </c>
      <c r="G9" s="3">
        <f>PRODUCT(F9/3.6)</f>
        <v>22.201111111111114</v>
      </c>
      <c r="H9" s="6">
        <v>10.79</v>
      </c>
      <c r="I9" s="2">
        <f>PRODUCT(H9*3.6)</f>
        <v>38.844</v>
      </c>
      <c r="J9" s="2">
        <f>PRODUCT(F9*H9/12*E9)</f>
        <v>215.59499</v>
      </c>
      <c r="K9" s="2">
        <f>PRODUCT(G9*I9/12*E9)</f>
        <v>215.59499</v>
      </c>
      <c r="M9" s="26"/>
      <c r="N9" s="27"/>
      <c r="O9" s="27"/>
      <c r="P9" s="27"/>
      <c r="Q9" s="28"/>
    </row>
    <row r="10" spans="2:17" ht="12.75">
      <c r="B10" s="1">
        <v>35339</v>
      </c>
      <c r="C10" t="s">
        <v>27</v>
      </c>
      <c r="D10" s="1">
        <v>35430</v>
      </c>
      <c r="E10">
        <v>3</v>
      </c>
      <c r="F10" s="12">
        <v>79.924</v>
      </c>
      <c r="G10" s="3">
        <f>PRODUCT(F10/3.6)</f>
        <v>22.201111111111114</v>
      </c>
      <c r="H10" s="6">
        <v>10.79</v>
      </c>
      <c r="I10" s="2">
        <f>PRODUCT(H10*3.6)</f>
        <v>38.844</v>
      </c>
      <c r="J10" s="2">
        <f>PRODUCT(F10*H10/12*E10)</f>
        <v>215.59499</v>
      </c>
      <c r="K10" s="2">
        <f>PRODUCT(G10*I10/12*E10)</f>
        <v>215.59499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862.37996</v>
      </c>
      <c r="K12" s="2">
        <f>SUM(K7:K10)</f>
        <v>862.37996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35065</v>
      </c>
      <c r="C18" t="s">
        <v>27</v>
      </c>
      <c r="D18" s="1">
        <v>35155</v>
      </c>
      <c r="F18">
        <v>5.546</v>
      </c>
      <c r="G18">
        <f>PRODUCT(F18*1000)</f>
        <v>5546</v>
      </c>
      <c r="H18" s="12">
        <v>20.52</v>
      </c>
      <c r="J18" s="2">
        <f>PRODUCT(F18*H18)</f>
        <v>113.80392</v>
      </c>
      <c r="M18" s="33">
        <f>PRODUCT(G18*N16*1.19)</f>
        <v>395.9844</v>
      </c>
      <c r="N18" s="27"/>
      <c r="O18" s="27"/>
      <c r="P18" s="27"/>
      <c r="Q18" s="28"/>
    </row>
    <row r="19" spans="2:17" ht="12.75">
      <c r="B19" s="1">
        <v>35156</v>
      </c>
      <c r="C19" t="s">
        <v>27</v>
      </c>
      <c r="D19" s="1">
        <v>35246</v>
      </c>
      <c r="F19" s="3">
        <v>0.535</v>
      </c>
      <c r="G19">
        <v>1561</v>
      </c>
      <c r="H19" s="12">
        <v>20.52</v>
      </c>
      <c r="J19">
        <f>PRODUCT(F19*H19)</f>
        <v>10.978200000000001</v>
      </c>
      <c r="M19" s="33">
        <f>PRODUCT(G19*N16*1.19)</f>
        <v>111.4554</v>
      </c>
      <c r="N19" s="27"/>
      <c r="O19" s="27"/>
      <c r="P19" s="27"/>
      <c r="Q19" s="28"/>
    </row>
    <row r="20" spans="2:17" ht="12.75">
      <c r="B20" s="1">
        <v>35247</v>
      </c>
      <c r="C20" t="s">
        <v>27</v>
      </c>
      <c r="D20" s="1">
        <v>35338</v>
      </c>
      <c r="F20" s="3">
        <v>0.74</v>
      </c>
      <c r="G20">
        <f>PRODUCT(F20*1000)</f>
        <v>740</v>
      </c>
      <c r="H20" s="12">
        <v>20.52</v>
      </c>
      <c r="J20" s="2">
        <f>PRODUCT(F20*H20)</f>
        <v>15.1848</v>
      </c>
      <c r="M20" s="33">
        <f>PRODUCT(G20*N16*1.19)</f>
        <v>52.836</v>
      </c>
      <c r="N20" s="27"/>
      <c r="O20" s="27"/>
      <c r="P20" s="27"/>
      <c r="Q20" s="28"/>
    </row>
    <row r="21" spans="2:17" ht="12.75">
      <c r="B21" s="1">
        <v>35339</v>
      </c>
      <c r="C21" t="s">
        <v>27</v>
      </c>
      <c r="D21" s="1">
        <v>35430</v>
      </c>
      <c r="F21" s="3">
        <v>1.884</v>
      </c>
      <c r="G21">
        <f>PRODUCT(F21*1000)</f>
        <v>1884</v>
      </c>
      <c r="H21" s="12">
        <v>20.52</v>
      </c>
      <c r="J21" s="2">
        <f>PRODUCT(F21*H21)</f>
        <v>38.659679999999994</v>
      </c>
      <c r="M21" s="33">
        <f>PRODUCT(G21*N16*1.19)</f>
        <v>134.5176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178.6266</v>
      </c>
      <c r="M23" s="29">
        <f>SUM(M18:M21)</f>
        <v>694.7934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8.705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8705</v>
      </c>
      <c r="H26" s="15" t="s">
        <v>48</v>
      </c>
      <c r="I26" s="16">
        <f>PRODUCT(F26/10)</f>
        <v>870.5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288.13550000000004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1249.5991666666666</v>
      </c>
      <c r="N28" s="30" t="s">
        <v>49</v>
      </c>
      <c r="O28" s="32" t="s">
        <v>88</v>
      </c>
      <c r="P28" s="32"/>
      <c r="Q28" s="38">
        <f>SUM(F34-M28)</f>
        <v>-42.031557066666664</v>
      </c>
    </row>
    <row r="29" spans="2:17" ht="12.75">
      <c r="B29" t="s">
        <v>36</v>
      </c>
      <c r="D29" s="2">
        <f>SUM(J7+J18)</f>
        <v>329.39891</v>
      </c>
      <c r="E29" s="2">
        <f>PRODUCT(D29/100*16)</f>
        <v>52.7038256</v>
      </c>
      <c r="F29" s="2">
        <f>SUM(D29+E29)</f>
        <v>382.1027356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226.57319</v>
      </c>
      <c r="E30" s="2">
        <f>SUM(D30/100*16)</f>
        <v>36.2517104</v>
      </c>
      <c r="F30" s="2">
        <f>SUM(D30+E30)</f>
        <v>262.8249004</v>
      </c>
      <c r="G30" t="s">
        <v>49</v>
      </c>
    </row>
    <row r="31" spans="2:7" ht="12.75">
      <c r="B31" t="s">
        <v>38</v>
      </c>
      <c r="D31" s="2">
        <f>SUM(J9+J20)</f>
        <v>230.77979</v>
      </c>
      <c r="E31" s="2">
        <f>SUM(D31/100*16)</f>
        <v>36.924766399999996</v>
      </c>
      <c r="F31" s="2">
        <f>SUM(D31+E31)</f>
        <v>267.7045564</v>
      </c>
      <c r="G31" t="s">
        <v>49</v>
      </c>
    </row>
    <row r="32" spans="2:7" ht="12.75">
      <c r="B32" t="s">
        <v>39</v>
      </c>
      <c r="D32" s="2">
        <f>SUM(J10+J21)</f>
        <v>254.25466999999998</v>
      </c>
      <c r="E32" s="2">
        <f>SUM(D32/100*16)</f>
        <v>40.6807472</v>
      </c>
      <c r="F32" s="2">
        <f>SUM(D32+E32)</f>
        <v>294.93541719999996</v>
      </c>
      <c r="G32" t="s">
        <v>49</v>
      </c>
    </row>
    <row r="34" spans="4:11" ht="12.75">
      <c r="D34" s="10" t="s">
        <v>44</v>
      </c>
      <c r="E34" s="10"/>
      <c r="F34" s="7">
        <f>SUM(F29:F32)</f>
        <v>1207.5676096</v>
      </c>
      <c r="G34" s="10" t="s">
        <v>49</v>
      </c>
      <c r="H34" t="s">
        <v>58</v>
      </c>
      <c r="J34" s="8">
        <f>'1995'!F34</f>
        <v>1193.9997856</v>
      </c>
      <c r="K34" s="10" t="s">
        <v>49</v>
      </c>
    </row>
    <row r="35" spans="8:11" ht="12.75">
      <c r="H35" t="s">
        <v>59</v>
      </c>
      <c r="J35" s="8">
        <f>SUM(F34-J34)/(J34/100)</f>
        <v>1.1363338723869176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138.72114986789202</v>
      </c>
      <c r="G37" s="10" t="s">
        <v>49</v>
      </c>
    </row>
    <row r="38" spans="2:7" ht="12.75">
      <c r="B38" s="10" t="s">
        <v>47</v>
      </c>
      <c r="C38" s="10"/>
      <c r="E38" s="5">
        <v>0.331</v>
      </c>
      <c r="F38" s="7">
        <f>PRODUCT(E38*100)</f>
        <v>33.1</v>
      </c>
      <c r="G38" s="10" t="s">
        <v>49</v>
      </c>
    </row>
    <row r="39" spans="2:7" ht="12.75">
      <c r="B39" s="10" t="s">
        <v>60</v>
      </c>
      <c r="C39" s="10"/>
      <c r="E39" s="5"/>
      <c r="F39" s="7">
        <f>SUM(F37-F38)</f>
        <v>105.62114986789203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919.4321096000001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5.440625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19.58625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A1">
      <selection activeCell="M4" sqref="M4:Q29"/>
    </sheetView>
  </sheetViews>
  <sheetFormatPr defaultColWidth="11.421875" defaultRowHeight="12.75"/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34700</v>
      </c>
      <c r="C7" t="s">
        <v>27</v>
      </c>
      <c r="D7" s="1">
        <v>34789</v>
      </c>
      <c r="E7" s="4">
        <v>3</v>
      </c>
      <c r="F7" s="12">
        <v>79.924</v>
      </c>
      <c r="G7" s="3">
        <f>PRODUCT(F7/3.6)</f>
        <v>22.201111111111114</v>
      </c>
      <c r="H7" s="6">
        <v>10.79</v>
      </c>
      <c r="I7" s="2">
        <f>PRODUCT(H7*3.6)</f>
        <v>38.844</v>
      </c>
      <c r="J7" s="2">
        <f>PRODUCT(F7*H7/12*E7)</f>
        <v>215.59499</v>
      </c>
      <c r="K7" s="2">
        <f>PRODUCT(G7*I7/12*E7)</f>
        <v>215.59499</v>
      </c>
      <c r="M7" s="26"/>
      <c r="N7" s="27"/>
      <c r="O7" s="27"/>
      <c r="P7" s="27"/>
      <c r="Q7" s="28"/>
    </row>
    <row r="8" spans="2:17" ht="12.75">
      <c r="B8" s="1">
        <v>34790</v>
      </c>
      <c r="C8" t="s">
        <v>27</v>
      </c>
      <c r="D8" s="1">
        <v>34880</v>
      </c>
      <c r="E8">
        <v>3</v>
      </c>
      <c r="F8" s="12">
        <v>79.924</v>
      </c>
      <c r="G8" s="3">
        <f>PRODUCT(F8/3.6)</f>
        <v>22.201111111111114</v>
      </c>
      <c r="H8" s="6">
        <v>10.79</v>
      </c>
      <c r="I8" s="2">
        <f>PRODUCT(H8*3.6)</f>
        <v>38.844</v>
      </c>
      <c r="J8" s="2">
        <f>PRODUCT(F8*H8/12*E8)</f>
        <v>215.59499</v>
      </c>
      <c r="K8" s="2">
        <f>PRODUCT(G8*I8/12*E8)</f>
        <v>215.59499</v>
      </c>
      <c r="M8" s="26"/>
      <c r="N8" s="27"/>
      <c r="O8" s="27"/>
      <c r="P8" s="27"/>
      <c r="Q8" s="28"/>
    </row>
    <row r="9" spans="2:17" ht="12.75">
      <c r="B9" s="1">
        <v>34881</v>
      </c>
      <c r="C9" t="s">
        <v>27</v>
      </c>
      <c r="D9" s="1">
        <v>34972</v>
      </c>
      <c r="E9">
        <v>3</v>
      </c>
      <c r="F9" s="12">
        <v>79.924</v>
      </c>
      <c r="G9" s="3">
        <f>PRODUCT(F9/3.6)</f>
        <v>22.201111111111114</v>
      </c>
      <c r="H9" s="6">
        <v>10.79</v>
      </c>
      <c r="I9" s="2">
        <f>PRODUCT(H9*3.6)</f>
        <v>38.844</v>
      </c>
      <c r="J9" s="2">
        <f>PRODUCT(F9*H9/12*E9)</f>
        <v>215.59499</v>
      </c>
      <c r="K9" s="2">
        <f>PRODUCT(G9*I9/12*E9)</f>
        <v>215.59499</v>
      </c>
      <c r="M9" s="26"/>
      <c r="N9" s="27"/>
      <c r="O9" s="27"/>
      <c r="P9" s="27"/>
      <c r="Q9" s="28"/>
    </row>
    <row r="10" spans="2:17" ht="12.75">
      <c r="B10" s="1">
        <v>34973</v>
      </c>
      <c r="C10" t="s">
        <v>27</v>
      </c>
      <c r="D10" s="1">
        <v>35064</v>
      </c>
      <c r="E10">
        <v>3</v>
      </c>
      <c r="F10" s="12">
        <v>79.924</v>
      </c>
      <c r="G10" s="3">
        <f>PRODUCT(F10/3.6)</f>
        <v>22.201111111111114</v>
      </c>
      <c r="H10" s="6">
        <v>10.79</v>
      </c>
      <c r="I10" s="2">
        <f>PRODUCT(H10*3.6)</f>
        <v>38.844</v>
      </c>
      <c r="J10" s="2">
        <f>PRODUCT(F10*H10/12*E10)</f>
        <v>215.59499</v>
      </c>
      <c r="K10" s="2">
        <f>PRODUCT(G10*I10/12*E10)</f>
        <v>215.59499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862.37996</v>
      </c>
      <c r="K12" s="2">
        <f>SUM(K7:K10)</f>
        <v>862.37996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34700</v>
      </c>
      <c r="C18" t="s">
        <v>27</v>
      </c>
      <c r="D18" s="1">
        <v>34789</v>
      </c>
      <c r="F18">
        <v>3.976</v>
      </c>
      <c r="G18">
        <f>PRODUCT(F18*1000)</f>
        <v>3976</v>
      </c>
      <c r="H18" s="12">
        <v>20.52</v>
      </c>
      <c r="J18" s="2">
        <f>PRODUCT(F18*H18)</f>
        <v>81.58752</v>
      </c>
      <c r="M18" s="33">
        <f>PRODUCT(G18*N16*1.19)</f>
        <v>283.8864</v>
      </c>
      <c r="N18" s="27"/>
      <c r="O18" s="27"/>
      <c r="P18" s="27"/>
      <c r="Q18" s="28"/>
    </row>
    <row r="19" spans="2:17" ht="12.75">
      <c r="B19" s="1">
        <v>34790</v>
      </c>
      <c r="C19" t="s">
        <v>27</v>
      </c>
      <c r="D19" s="1">
        <v>34880</v>
      </c>
      <c r="F19" s="3">
        <v>1.551</v>
      </c>
      <c r="G19">
        <v>1561</v>
      </c>
      <c r="H19" s="12">
        <v>20.52</v>
      </c>
      <c r="J19">
        <f>PRODUCT(F19*H19)</f>
        <v>31.82652</v>
      </c>
      <c r="M19" s="33">
        <f>PRODUCT(G19*N16*1.19)</f>
        <v>111.4554</v>
      </c>
      <c r="N19" s="27"/>
      <c r="O19" s="27"/>
      <c r="P19" s="27"/>
      <c r="Q19" s="28"/>
    </row>
    <row r="20" spans="2:17" ht="12.75">
      <c r="B20" s="1">
        <v>34881</v>
      </c>
      <c r="C20" t="s">
        <v>27</v>
      </c>
      <c r="D20" s="1">
        <v>34972</v>
      </c>
      <c r="F20" s="3">
        <v>0.548</v>
      </c>
      <c r="G20">
        <f>PRODUCT(F20*1000)</f>
        <v>548</v>
      </c>
      <c r="H20" s="12">
        <v>20.52</v>
      </c>
      <c r="J20" s="2">
        <f>PRODUCT(F20*H20)</f>
        <v>11.24496</v>
      </c>
      <c r="M20" s="33">
        <f>PRODUCT(G20*N16*1.19)</f>
        <v>39.127199999999995</v>
      </c>
      <c r="N20" s="27"/>
      <c r="O20" s="27"/>
      <c r="P20" s="27"/>
      <c r="Q20" s="28"/>
    </row>
    <row r="21" spans="2:17" ht="12.75">
      <c r="B21" s="1">
        <v>34973</v>
      </c>
      <c r="C21" t="s">
        <v>27</v>
      </c>
      <c r="D21" s="1">
        <v>35064</v>
      </c>
      <c r="F21" s="3">
        <v>2.06</v>
      </c>
      <c r="G21">
        <f>PRODUCT(F21*1000)</f>
        <v>2060</v>
      </c>
      <c r="H21" s="12">
        <v>20.52</v>
      </c>
      <c r="J21" s="2">
        <f>PRODUCT(F21*H21)</f>
        <v>42.2712</v>
      </c>
      <c r="M21" s="33">
        <f>PRODUCT(G21*N16*1.19)</f>
        <v>147.08399999999997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166.9302</v>
      </c>
      <c r="M23" s="29">
        <f>SUM(M18:M21)</f>
        <v>581.553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8.135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8135</v>
      </c>
      <c r="H26" s="15" t="s">
        <v>48</v>
      </c>
      <c r="I26" s="16">
        <f>PRODUCT(F26/10)</f>
        <v>813.5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189.5455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1136.3587666666667</v>
      </c>
      <c r="N28" s="30" t="s">
        <v>49</v>
      </c>
      <c r="O28" s="32" t="s">
        <v>88</v>
      </c>
      <c r="P28" s="32"/>
      <c r="Q28" s="38">
        <f>SUM(F34-M28)</f>
        <v>57.64101893333327</v>
      </c>
    </row>
    <row r="29" spans="2:17" ht="12.75">
      <c r="B29" t="s">
        <v>36</v>
      </c>
      <c r="D29" s="2">
        <f>SUM(J7+J18)</f>
        <v>297.18251</v>
      </c>
      <c r="E29" s="2">
        <f>PRODUCT(D29/100*16)</f>
        <v>47.549201599999996</v>
      </c>
      <c r="F29" s="2">
        <f>SUM(D29+E29)</f>
        <v>344.7317116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247.42150999999998</v>
      </c>
      <c r="E30" s="2">
        <f>SUM(D30/100*16)</f>
        <v>39.5874416</v>
      </c>
      <c r="F30" s="2">
        <f>SUM(D30+E30)</f>
        <v>287.0089516</v>
      </c>
      <c r="G30" t="s">
        <v>49</v>
      </c>
    </row>
    <row r="31" spans="2:7" ht="12.75">
      <c r="B31" t="s">
        <v>38</v>
      </c>
      <c r="D31" s="2">
        <f>SUM(J9+J20)</f>
        <v>226.83995</v>
      </c>
      <c r="E31" s="2">
        <f>SUM(D31/100*16)</f>
        <v>36.294391999999995</v>
      </c>
      <c r="F31" s="2">
        <f>SUM(D31+E31)</f>
        <v>263.134342</v>
      </c>
      <c r="G31" t="s">
        <v>49</v>
      </c>
    </row>
    <row r="32" spans="2:7" ht="12.75">
      <c r="B32" t="s">
        <v>39</v>
      </c>
      <c r="D32" s="2">
        <f>SUM(J10+J21)</f>
        <v>257.86619</v>
      </c>
      <c r="E32" s="2">
        <f>SUM(D32/100*16)</f>
        <v>41.2585904</v>
      </c>
      <c r="F32" s="2">
        <f>SUM(D32+E32)</f>
        <v>299.1247804</v>
      </c>
      <c r="G32" t="s">
        <v>49</v>
      </c>
    </row>
    <row r="34" spans="4:11" ht="12.75">
      <c r="D34" s="10" t="s">
        <v>44</v>
      </c>
      <c r="E34" s="10"/>
      <c r="F34" s="7">
        <f>SUM(F29:F32)</f>
        <v>1193.9997856</v>
      </c>
      <c r="G34" s="10" t="s">
        <v>49</v>
      </c>
      <c r="H34" t="s">
        <v>58</v>
      </c>
      <c r="J34" s="8">
        <f>'1994'!F34</f>
        <v>1160.008816</v>
      </c>
      <c r="K34" s="10" t="s">
        <v>49</v>
      </c>
    </row>
    <row r="35" spans="8:11" ht="12.75">
      <c r="H35" t="s">
        <v>59</v>
      </c>
      <c r="J35" s="8">
        <f>SUM(F34-J34)/(J34/100)</f>
        <v>2.9302337302236476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146.77317585740627</v>
      </c>
      <c r="G37" s="10" t="s">
        <v>49</v>
      </c>
    </row>
    <row r="38" spans="2:7" ht="12.75">
      <c r="B38" s="10" t="s">
        <v>47</v>
      </c>
      <c r="C38" s="10"/>
      <c r="E38" s="5">
        <v>0.233</v>
      </c>
      <c r="F38" s="7">
        <f>PRODUCT(E38*100)</f>
        <v>23.3</v>
      </c>
      <c r="G38" s="10" t="s">
        <v>49</v>
      </c>
    </row>
    <row r="39" spans="2:7" ht="12.75">
      <c r="B39" s="10" t="s">
        <v>60</v>
      </c>
      <c r="C39" s="10"/>
      <c r="E39" s="5"/>
      <c r="F39" s="7">
        <f>SUM(F37-F38)</f>
        <v>123.47317585740628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1004.4542856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5.084375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18.30375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A1">
      <selection activeCell="M4" sqref="M4:Q29"/>
    </sheetView>
  </sheetViews>
  <sheetFormatPr defaultColWidth="11.421875" defaultRowHeight="12.75"/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34335</v>
      </c>
      <c r="C7" t="s">
        <v>27</v>
      </c>
      <c r="D7" s="1">
        <v>34424</v>
      </c>
      <c r="E7" s="4">
        <v>3</v>
      </c>
      <c r="F7" s="12">
        <v>79.924</v>
      </c>
      <c r="G7" s="3">
        <f>PRODUCT(F7/3.6)</f>
        <v>22.201111111111114</v>
      </c>
      <c r="H7" s="6">
        <v>10.79</v>
      </c>
      <c r="I7" s="2">
        <f>PRODUCT(H7*3.6)</f>
        <v>38.844</v>
      </c>
      <c r="J7" s="2">
        <f>PRODUCT(F7*H7/12*E7)</f>
        <v>215.59499</v>
      </c>
      <c r="K7" s="2">
        <f>PRODUCT(G7*I7/12*E7)</f>
        <v>215.59499</v>
      </c>
      <c r="M7" s="26"/>
      <c r="N7" s="27"/>
      <c r="O7" s="27"/>
      <c r="P7" s="27"/>
      <c r="Q7" s="28"/>
    </row>
    <row r="8" spans="2:17" ht="12.75">
      <c r="B8" s="1">
        <v>34425</v>
      </c>
      <c r="C8" t="s">
        <v>27</v>
      </c>
      <c r="D8" s="1">
        <v>34515</v>
      </c>
      <c r="E8">
        <v>3</v>
      </c>
      <c r="F8" s="12">
        <v>79.924</v>
      </c>
      <c r="G8" s="3">
        <f>PRODUCT(F8/3.6)</f>
        <v>22.201111111111114</v>
      </c>
      <c r="H8" s="6">
        <v>10.79</v>
      </c>
      <c r="I8" s="2">
        <f>PRODUCT(H8*3.6)</f>
        <v>38.844</v>
      </c>
      <c r="J8" s="2">
        <f>PRODUCT(F8*H8/12*E8)</f>
        <v>215.59499</v>
      </c>
      <c r="K8" s="2">
        <f>PRODUCT(G8*I8/12*E8)</f>
        <v>215.59499</v>
      </c>
      <c r="M8" s="26"/>
      <c r="N8" s="27"/>
      <c r="O8" s="27"/>
      <c r="P8" s="27"/>
      <c r="Q8" s="28"/>
    </row>
    <row r="9" spans="2:17" ht="12.75">
      <c r="B9" s="1">
        <v>34516</v>
      </c>
      <c r="C9" t="s">
        <v>27</v>
      </c>
      <c r="D9" s="1">
        <v>34607</v>
      </c>
      <c r="E9">
        <v>3</v>
      </c>
      <c r="F9" s="12">
        <v>79.924</v>
      </c>
      <c r="G9" s="3">
        <f>PRODUCT(F9/3.6)</f>
        <v>22.201111111111114</v>
      </c>
      <c r="H9" s="6">
        <v>10.79</v>
      </c>
      <c r="I9" s="2">
        <f>PRODUCT(H9*3.6)</f>
        <v>38.844</v>
      </c>
      <c r="J9" s="2">
        <f>PRODUCT(F9*H9/12*E9)</f>
        <v>215.59499</v>
      </c>
      <c r="K9" s="2">
        <f>PRODUCT(G9*I9/12*E9)</f>
        <v>215.59499</v>
      </c>
      <c r="M9" s="26"/>
      <c r="N9" s="27"/>
      <c r="O9" s="27"/>
      <c r="P9" s="27"/>
      <c r="Q9" s="28"/>
    </row>
    <row r="10" spans="2:17" ht="12.75">
      <c r="B10" s="1">
        <v>34608</v>
      </c>
      <c r="C10" t="s">
        <v>27</v>
      </c>
      <c r="D10" s="1">
        <v>34699</v>
      </c>
      <c r="E10">
        <v>3</v>
      </c>
      <c r="F10" s="12">
        <v>79.924</v>
      </c>
      <c r="G10" s="3">
        <f>PRODUCT(F10/3.6)</f>
        <v>22.201111111111114</v>
      </c>
      <c r="H10" s="6">
        <v>10.79</v>
      </c>
      <c r="I10" s="2">
        <f>PRODUCT(H10*3.6)</f>
        <v>38.844</v>
      </c>
      <c r="J10" s="2">
        <f>PRODUCT(F10*H10/12*E10)</f>
        <v>215.59499</v>
      </c>
      <c r="K10" s="2">
        <f>PRODUCT(G10*I10/12*E10)</f>
        <v>215.59499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862.37996</v>
      </c>
      <c r="K12" s="2">
        <f>SUM(K7:K10)</f>
        <v>862.37996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34335</v>
      </c>
      <c r="C18" t="s">
        <v>27</v>
      </c>
      <c r="D18" s="1">
        <v>34424</v>
      </c>
      <c r="F18">
        <v>3.566</v>
      </c>
      <c r="G18">
        <f>PRODUCT(F18*1000)</f>
        <v>3566</v>
      </c>
      <c r="H18" s="12">
        <v>20.52</v>
      </c>
      <c r="J18" s="2">
        <f>PRODUCT(F18*H18)</f>
        <v>73.17432</v>
      </c>
      <c r="M18" s="33">
        <f>PRODUCT(G18*N16*1.19)</f>
        <v>254.61239999999995</v>
      </c>
      <c r="N18" s="27"/>
      <c r="O18" s="27"/>
      <c r="P18" s="27"/>
      <c r="Q18" s="28"/>
    </row>
    <row r="19" spans="2:17" ht="12.75">
      <c r="B19" s="1">
        <v>34425</v>
      </c>
      <c r="C19" t="s">
        <v>27</v>
      </c>
      <c r="D19" s="1">
        <v>34515</v>
      </c>
      <c r="F19" s="3">
        <v>0.99</v>
      </c>
      <c r="G19">
        <v>1561</v>
      </c>
      <c r="H19" s="12">
        <v>20.52</v>
      </c>
      <c r="J19">
        <f>PRODUCT(F19*H19)</f>
        <v>20.314799999999998</v>
      </c>
      <c r="M19" s="33">
        <f>PRODUCT(G19*N16*1.19)</f>
        <v>111.4554</v>
      </c>
      <c r="N19" s="27"/>
      <c r="O19" s="27"/>
      <c r="P19" s="27"/>
      <c r="Q19" s="28"/>
    </row>
    <row r="20" spans="2:17" ht="12.75">
      <c r="B20" s="1">
        <v>34516</v>
      </c>
      <c r="C20" t="s">
        <v>27</v>
      </c>
      <c r="D20" s="1">
        <v>34607</v>
      </c>
      <c r="F20" s="3">
        <v>0.324</v>
      </c>
      <c r="G20">
        <f>PRODUCT(F20*1000)</f>
        <v>324</v>
      </c>
      <c r="H20" s="12">
        <v>20.52</v>
      </c>
      <c r="J20" s="2">
        <f>PRODUCT(F20*H20)</f>
        <v>6.64848</v>
      </c>
      <c r="M20" s="33">
        <f>PRODUCT(G20*N16*1.19)</f>
        <v>23.133599999999998</v>
      </c>
      <c r="N20" s="27"/>
      <c r="O20" s="27"/>
      <c r="P20" s="27"/>
      <c r="Q20" s="28"/>
    </row>
    <row r="21" spans="2:17" ht="12.75">
      <c r="B21" s="1">
        <v>34608</v>
      </c>
      <c r="C21" t="s">
        <v>27</v>
      </c>
      <c r="D21" s="1">
        <v>34699</v>
      </c>
      <c r="F21" s="3">
        <v>1.827</v>
      </c>
      <c r="G21">
        <f>PRODUCT(F21*1000)</f>
        <v>1827</v>
      </c>
      <c r="H21" s="12">
        <v>20.52</v>
      </c>
      <c r="J21" s="2">
        <f>PRODUCT(F21*H21)</f>
        <v>37.49004</v>
      </c>
      <c r="M21" s="33">
        <f>PRODUCT(G21*N16*1.19)</f>
        <v>130.44779999999997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137.62763999999999</v>
      </c>
      <c r="M23" s="29">
        <f>SUM(M18:M21)</f>
        <v>519.6491999999998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6.707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6707</v>
      </c>
      <c r="H26" s="15" t="s">
        <v>48</v>
      </c>
      <c r="I26" s="16">
        <f>PRODUCT(F26/10)</f>
        <v>670.7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164.9922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1074.4549666666667</v>
      </c>
      <c r="N28" s="30" t="s">
        <v>49</v>
      </c>
      <c r="O28" s="32" t="s">
        <v>88</v>
      </c>
      <c r="P28" s="32"/>
      <c r="Q28" s="38">
        <f>SUM(F34-M28)</f>
        <v>85.55384933333335</v>
      </c>
    </row>
    <row r="29" spans="2:17" ht="12.75">
      <c r="B29" t="s">
        <v>36</v>
      </c>
      <c r="D29" s="2">
        <f>SUM(J7+J18)</f>
        <v>288.76931</v>
      </c>
      <c r="E29" s="2">
        <f>PRODUCT(D29/100*16)</f>
        <v>46.203089600000006</v>
      </c>
      <c r="F29" s="2">
        <f>SUM(D29+E29)</f>
        <v>334.9723996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235.90979</v>
      </c>
      <c r="E30" s="2">
        <f>SUM(D30/100*16)</f>
        <v>37.7455664</v>
      </c>
      <c r="F30" s="2">
        <f>SUM(D30+E30)</f>
        <v>273.65535639999996</v>
      </c>
      <c r="G30" t="s">
        <v>49</v>
      </c>
    </row>
    <row r="31" spans="2:7" ht="12.75">
      <c r="B31" t="s">
        <v>38</v>
      </c>
      <c r="D31" s="2">
        <f>SUM(J9+J20)</f>
        <v>222.24347</v>
      </c>
      <c r="E31" s="2">
        <f>SUM(D31/100*16)</f>
        <v>35.5589552</v>
      </c>
      <c r="F31" s="2">
        <f>SUM(D31+E31)</f>
        <v>257.8024252</v>
      </c>
      <c r="G31" t="s">
        <v>49</v>
      </c>
    </row>
    <row r="32" spans="2:7" ht="12.75">
      <c r="B32" t="s">
        <v>39</v>
      </c>
      <c r="D32" s="2">
        <f>SUM(J10+J21)</f>
        <v>253.08503</v>
      </c>
      <c r="E32" s="2">
        <f>SUM(D32/100*16)</f>
        <v>40.4936048</v>
      </c>
      <c r="F32" s="2">
        <f>SUM(D32+E32)</f>
        <v>293.5786348</v>
      </c>
      <c r="G32" t="s">
        <v>49</v>
      </c>
    </row>
    <row r="34" spans="4:11" ht="12.75">
      <c r="D34" s="10" t="s">
        <v>44</v>
      </c>
      <c r="E34" s="10"/>
      <c r="F34" s="7">
        <f>SUM(F29:F32)</f>
        <v>1160.008816</v>
      </c>
      <c r="G34" s="10" t="s">
        <v>49</v>
      </c>
      <c r="H34" t="s">
        <v>58</v>
      </c>
      <c r="J34" s="8">
        <f>'1993'!F34</f>
        <v>1173.9098847999999</v>
      </c>
      <c r="K34" s="10" t="s">
        <v>49</v>
      </c>
    </row>
    <row r="35" spans="8:11" ht="12.75">
      <c r="H35" t="s">
        <v>59</v>
      </c>
      <c r="J35" s="8">
        <f>SUM(F34-J34)/(J34/100)</f>
        <v>-1.1841683062723494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172.95494498285373</v>
      </c>
      <c r="G37" s="10" t="s">
        <v>49</v>
      </c>
    </row>
    <row r="38" spans="2:7" ht="12.75">
      <c r="B38" s="10" t="s">
        <v>47</v>
      </c>
      <c r="C38" s="10"/>
      <c r="E38" s="5">
        <v>0.246</v>
      </c>
      <c r="F38" s="7">
        <f>PRODUCT(E38*100)</f>
        <v>24.6</v>
      </c>
      <c r="G38" s="10" t="s">
        <v>49</v>
      </c>
    </row>
    <row r="39" spans="2:7" ht="12.75">
      <c r="B39" s="10" t="s">
        <v>60</v>
      </c>
      <c r="C39" s="10"/>
      <c r="E39" s="5"/>
      <c r="F39" s="7">
        <f>SUM(F37-F38)</f>
        <v>148.35494498285374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995.016616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4.191875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15.090749999999998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A1">
      <selection activeCell="M4" sqref="M4:Q29"/>
    </sheetView>
  </sheetViews>
  <sheetFormatPr defaultColWidth="11.421875" defaultRowHeight="12.75"/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33970</v>
      </c>
      <c r="C7" t="s">
        <v>27</v>
      </c>
      <c r="D7" s="1">
        <v>34059</v>
      </c>
      <c r="E7" s="4">
        <v>3</v>
      </c>
      <c r="F7" s="12">
        <v>79.924</v>
      </c>
      <c r="G7" s="3">
        <f>PRODUCT(F7/3.6)</f>
        <v>22.201111111111114</v>
      </c>
      <c r="H7" s="6">
        <v>10.79</v>
      </c>
      <c r="I7" s="2">
        <f>PRODUCT(H7*3.6)</f>
        <v>38.844</v>
      </c>
      <c r="J7" s="2">
        <f>PRODUCT(F7*H7/12*E7)</f>
        <v>215.59499</v>
      </c>
      <c r="K7" s="2">
        <f>PRODUCT(G7*I7/12*E7)</f>
        <v>215.59499</v>
      </c>
      <c r="M7" s="26"/>
      <c r="N7" s="27"/>
      <c r="O7" s="27"/>
      <c r="P7" s="27"/>
      <c r="Q7" s="28"/>
    </row>
    <row r="8" spans="2:17" ht="12.75">
      <c r="B8" s="1">
        <v>34060</v>
      </c>
      <c r="C8" t="s">
        <v>27</v>
      </c>
      <c r="D8" s="1">
        <v>34150</v>
      </c>
      <c r="E8">
        <v>3</v>
      </c>
      <c r="F8" s="12">
        <v>79.924</v>
      </c>
      <c r="G8" s="3">
        <f>PRODUCT(F8/3.6)</f>
        <v>22.201111111111114</v>
      </c>
      <c r="H8" s="6">
        <v>10.79</v>
      </c>
      <c r="I8" s="2">
        <f>PRODUCT(H8*3.6)</f>
        <v>38.844</v>
      </c>
      <c r="J8" s="2">
        <f>PRODUCT(F8*H8/12*E8)</f>
        <v>215.59499</v>
      </c>
      <c r="K8" s="2">
        <f>PRODUCT(G8*I8/12*E8)</f>
        <v>215.59499</v>
      </c>
      <c r="M8" s="26"/>
      <c r="N8" s="27"/>
      <c r="O8" s="27"/>
      <c r="P8" s="27"/>
      <c r="Q8" s="28"/>
    </row>
    <row r="9" spans="2:17" ht="12.75">
      <c r="B9" s="1">
        <v>34151</v>
      </c>
      <c r="C9" t="s">
        <v>27</v>
      </c>
      <c r="D9" s="1">
        <v>34242</v>
      </c>
      <c r="E9">
        <v>3</v>
      </c>
      <c r="F9" s="12">
        <v>79.924</v>
      </c>
      <c r="G9" s="3">
        <f>PRODUCT(F9/3.6)</f>
        <v>22.201111111111114</v>
      </c>
      <c r="H9" s="6">
        <v>10.79</v>
      </c>
      <c r="I9" s="2">
        <f>PRODUCT(H9*3.6)</f>
        <v>38.844</v>
      </c>
      <c r="J9" s="2">
        <f>PRODUCT(F9*H9/12*E9)</f>
        <v>215.59499</v>
      </c>
      <c r="K9" s="2">
        <f>PRODUCT(G9*I9/12*E9)</f>
        <v>215.59499</v>
      </c>
      <c r="M9" s="26"/>
      <c r="N9" s="27"/>
      <c r="O9" s="27"/>
      <c r="P9" s="27"/>
      <c r="Q9" s="28"/>
    </row>
    <row r="10" spans="2:17" ht="12.75">
      <c r="B10" s="1">
        <v>34243</v>
      </c>
      <c r="C10" t="s">
        <v>27</v>
      </c>
      <c r="D10" s="1">
        <v>34334</v>
      </c>
      <c r="E10">
        <v>3</v>
      </c>
      <c r="F10" s="12">
        <v>79.924</v>
      </c>
      <c r="G10" s="3">
        <f>PRODUCT(F10/3.6)</f>
        <v>22.201111111111114</v>
      </c>
      <c r="H10" s="6">
        <v>10.79</v>
      </c>
      <c r="I10" s="2">
        <f>PRODUCT(H10*3.6)</f>
        <v>38.844</v>
      </c>
      <c r="J10" s="2">
        <f>PRODUCT(F10*H10/12*E10)</f>
        <v>215.59499</v>
      </c>
      <c r="K10" s="2">
        <f>PRODUCT(G10*I10/12*E10)</f>
        <v>215.59499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862.37996</v>
      </c>
      <c r="K12" s="2">
        <f>SUM(K7:K10)</f>
        <v>862.37996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33970</v>
      </c>
      <c r="C18" t="s">
        <v>27</v>
      </c>
      <c r="D18" s="1">
        <v>34059</v>
      </c>
      <c r="F18">
        <v>4.215</v>
      </c>
      <c r="G18">
        <f>PRODUCT(F18*1000)</f>
        <v>4215</v>
      </c>
      <c r="H18" s="12">
        <v>20.52</v>
      </c>
      <c r="J18" s="2">
        <f>PRODUCT(F18*H18)</f>
        <v>86.4918</v>
      </c>
      <c r="M18" s="33">
        <f>PRODUCT(G18*N16*1.19)</f>
        <v>300.95099999999996</v>
      </c>
      <c r="N18" s="27"/>
      <c r="O18" s="27"/>
      <c r="P18" s="27"/>
      <c r="Q18" s="28"/>
    </row>
    <row r="19" spans="2:17" ht="12.75">
      <c r="B19" s="1">
        <v>34060</v>
      </c>
      <c r="C19" t="s">
        <v>27</v>
      </c>
      <c r="D19" s="1">
        <v>34150</v>
      </c>
      <c r="F19" s="3">
        <v>0.785</v>
      </c>
      <c r="G19">
        <v>1561</v>
      </c>
      <c r="H19" s="12">
        <v>20.52</v>
      </c>
      <c r="J19">
        <f>PRODUCT(F19*H19)</f>
        <v>16.1082</v>
      </c>
      <c r="M19" s="33">
        <f>PRODUCT(G19*N16*1.19)</f>
        <v>111.4554</v>
      </c>
      <c r="N19" s="27"/>
      <c r="O19" s="27"/>
      <c r="P19" s="27"/>
      <c r="Q19" s="28"/>
    </row>
    <row r="20" spans="2:17" ht="12.75">
      <c r="B20" s="1">
        <v>34151</v>
      </c>
      <c r="C20" t="s">
        <v>27</v>
      </c>
      <c r="D20" s="1">
        <v>34242</v>
      </c>
      <c r="F20" s="3">
        <v>0.421</v>
      </c>
      <c r="G20">
        <f>PRODUCT(F20*1000)</f>
        <v>421</v>
      </c>
      <c r="H20" s="12">
        <v>20.52</v>
      </c>
      <c r="J20" s="2">
        <f>PRODUCT(F20*H20)</f>
        <v>8.638919999999999</v>
      </c>
      <c r="M20" s="33">
        <f>PRODUCT(G20*N16*1.19)</f>
        <v>30.059399999999997</v>
      </c>
      <c r="N20" s="27"/>
      <c r="O20" s="27"/>
      <c r="P20" s="27"/>
      <c r="Q20" s="28"/>
    </row>
    <row r="21" spans="2:17" ht="12.75">
      <c r="B21" s="1">
        <v>34243</v>
      </c>
      <c r="C21" t="s">
        <v>27</v>
      </c>
      <c r="D21" s="1">
        <v>34334</v>
      </c>
      <c r="F21" s="3">
        <v>1.87</v>
      </c>
      <c r="G21">
        <f>PRODUCT(F21*1000)</f>
        <v>1870</v>
      </c>
      <c r="H21" s="12">
        <v>20.52</v>
      </c>
      <c r="J21" s="2">
        <f>PRODUCT(F21*H21)</f>
        <v>38.3724</v>
      </c>
      <c r="M21" s="33">
        <f>PRODUCT(G21*N16*1.19)</f>
        <v>133.518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149.61131999999998</v>
      </c>
      <c r="M23" s="29">
        <f>SUM(M18:M21)</f>
        <v>575.9838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7.291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7291</v>
      </c>
      <c r="H26" s="15" t="s">
        <v>48</v>
      </c>
      <c r="I26" s="16">
        <f>PRODUCT(F26/10)</f>
        <v>729.1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194.6697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1130.7895666666666</v>
      </c>
      <c r="N28" s="30" t="s">
        <v>49</v>
      </c>
      <c r="O28" s="32" t="s">
        <v>88</v>
      </c>
      <c r="P28" s="32"/>
      <c r="Q28" s="38">
        <f>SUM(F34-M28)</f>
        <v>43.120318133333285</v>
      </c>
    </row>
    <row r="29" spans="2:17" ht="12.75">
      <c r="B29" t="s">
        <v>36</v>
      </c>
      <c r="D29" s="2">
        <f>SUM(J7+J18)</f>
        <v>302.08679</v>
      </c>
      <c r="E29" s="2">
        <f>PRODUCT(D29/100*16)</f>
        <v>48.333886400000004</v>
      </c>
      <c r="F29" s="2">
        <f>SUM(D29+E29)</f>
        <v>350.4206764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231.70319</v>
      </c>
      <c r="E30" s="2">
        <f>SUM(D30/100*16)</f>
        <v>37.0725104</v>
      </c>
      <c r="F30" s="2">
        <f>SUM(D30+E30)</f>
        <v>268.7757004</v>
      </c>
      <c r="G30" t="s">
        <v>49</v>
      </c>
    </row>
    <row r="31" spans="2:7" ht="12.75">
      <c r="B31" t="s">
        <v>38</v>
      </c>
      <c r="D31" s="2">
        <f>SUM(J9+J20)</f>
        <v>224.23390999999998</v>
      </c>
      <c r="E31" s="2">
        <f>SUM(D31/100*16)</f>
        <v>35.877425599999995</v>
      </c>
      <c r="F31" s="2">
        <f>SUM(D31+E31)</f>
        <v>260.11133559999996</v>
      </c>
      <c r="G31" t="s">
        <v>49</v>
      </c>
    </row>
    <row r="32" spans="2:7" ht="12.75">
      <c r="B32" t="s">
        <v>39</v>
      </c>
      <c r="D32" s="2">
        <f>SUM(J10+J21)</f>
        <v>253.96739</v>
      </c>
      <c r="E32" s="2">
        <f>SUM(D32/100*16)</f>
        <v>40.6347824</v>
      </c>
      <c r="F32" s="2">
        <f>SUM(D32+E32)</f>
        <v>294.6021724</v>
      </c>
      <c r="G32" t="s">
        <v>49</v>
      </c>
    </row>
    <row r="34" spans="4:11" ht="12.75">
      <c r="D34" s="10" t="s">
        <v>44</v>
      </c>
      <c r="E34" s="10"/>
      <c r="F34" s="7">
        <f>SUM(F29:F32)</f>
        <v>1173.9098847999999</v>
      </c>
      <c r="G34" s="10" t="s">
        <v>49</v>
      </c>
      <c r="H34" t="s">
        <v>58</v>
      </c>
      <c r="J34" s="8">
        <f>'1992'!F34</f>
        <v>1168.577968</v>
      </c>
      <c r="K34" s="10" t="s">
        <v>49</v>
      </c>
    </row>
    <row r="35" spans="8:11" ht="12.75">
      <c r="H35" t="s">
        <v>59</v>
      </c>
      <c r="J35" s="8">
        <f>SUM(F34-J34)/(J34/100)</f>
        <v>0.4562739454283308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161.00807636812505</v>
      </c>
      <c r="G37" s="10" t="s">
        <v>49</v>
      </c>
    </row>
    <row r="38" spans="2:7" ht="12.75">
      <c r="B38" s="10" t="s">
        <v>47</v>
      </c>
      <c r="C38" s="10"/>
      <c r="E38" s="5">
        <v>0.267</v>
      </c>
      <c r="F38" s="7">
        <f>PRODUCT(E38*100)</f>
        <v>26.700000000000003</v>
      </c>
      <c r="G38" s="10" t="s">
        <v>49</v>
      </c>
    </row>
    <row r="39" spans="2:7" ht="12.75">
      <c r="B39" s="10" t="s">
        <v>60</v>
      </c>
      <c r="C39" s="10"/>
      <c r="E39" s="5"/>
      <c r="F39" s="7">
        <f>SUM(F37-F38)</f>
        <v>134.30807636812506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979.2401847999998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4.556875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16.40475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J29"/>
  <sheetViews>
    <sheetView workbookViewId="0" topLeftCell="A1">
      <selection activeCell="J37" sqref="J37"/>
    </sheetView>
  </sheetViews>
  <sheetFormatPr defaultColWidth="11.421875" defaultRowHeight="12.75"/>
  <sheetData>
    <row r="5" ht="12.75">
      <c r="B5" t="s">
        <v>14</v>
      </c>
    </row>
    <row r="7" spans="4:10" ht="12.75">
      <c r="D7" t="s">
        <v>0</v>
      </c>
      <c r="E7" t="s">
        <v>1</v>
      </c>
      <c r="F7" t="s">
        <v>2</v>
      </c>
      <c r="G7" t="s">
        <v>3</v>
      </c>
      <c r="H7" t="s">
        <v>4</v>
      </c>
      <c r="I7" t="s">
        <v>5</v>
      </c>
      <c r="J7" t="s">
        <v>6</v>
      </c>
    </row>
    <row r="8" spans="2:10" ht="12.75">
      <c r="B8">
        <v>1</v>
      </c>
      <c r="C8" t="s">
        <v>0</v>
      </c>
      <c r="D8">
        <v>1</v>
      </c>
      <c r="E8">
        <v>0.2388</v>
      </c>
      <c r="F8">
        <v>0.000278</v>
      </c>
      <c r="G8">
        <v>3.4E-05</v>
      </c>
      <c r="H8">
        <v>2.4E-05</v>
      </c>
      <c r="I8" t="s">
        <v>7</v>
      </c>
      <c r="J8">
        <v>3.2E-05</v>
      </c>
    </row>
    <row r="9" spans="2:10" ht="12.75">
      <c r="B9">
        <v>1</v>
      </c>
      <c r="C9" t="s">
        <v>1</v>
      </c>
      <c r="D9">
        <v>4.1868</v>
      </c>
      <c r="E9">
        <v>1</v>
      </c>
      <c r="F9">
        <v>0.001163</v>
      </c>
      <c r="G9">
        <v>0.000143</v>
      </c>
      <c r="H9">
        <v>0.0001</v>
      </c>
      <c r="I9" t="s">
        <v>8</v>
      </c>
      <c r="J9">
        <v>0.00013</v>
      </c>
    </row>
    <row r="10" spans="2:10" ht="12.75">
      <c r="B10">
        <v>1</v>
      </c>
      <c r="C10" t="s">
        <v>2</v>
      </c>
      <c r="D10">
        <v>3600</v>
      </c>
      <c r="E10">
        <v>860</v>
      </c>
      <c r="F10">
        <v>1</v>
      </c>
      <c r="G10">
        <v>0.123</v>
      </c>
      <c r="H10">
        <v>0.086</v>
      </c>
      <c r="I10">
        <v>6.3E-05</v>
      </c>
      <c r="J10">
        <v>0.113</v>
      </c>
    </row>
    <row r="11" spans="2:10" ht="12.75">
      <c r="B11">
        <v>1</v>
      </c>
      <c r="C11" t="s">
        <v>3</v>
      </c>
      <c r="D11">
        <v>29308</v>
      </c>
      <c r="E11">
        <v>7000</v>
      </c>
      <c r="F11">
        <v>8.14</v>
      </c>
      <c r="G11">
        <v>1</v>
      </c>
      <c r="H11">
        <v>0.7</v>
      </c>
      <c r="I11">
        <v>0.0052</v>
      </c>
      <c r="J11">
        <v>0.924</v>
      </c>
    </row>
    <row r="12" spans="2:10" ht="12.75">
      <c r="B12">
        <v>1</v>
      </c>
      <c r="C12" t="s">
        <v>4</v>
      </c>
      <c r="D12">
        <v>41868</v>
      </c>
      <c r="E12">
        <v>10000</v>
      </c>
      <c r="F12">
        <v>11.63</v>
      </c>
      <c r="G12">
        <v>1.428</v>
      </c>
      <c r="H12">
        <v>1</v>
      </c>
      <c r="I12">
        <v>0.0074</v>
      </c>
      <c r="J12">
        <v>1.319</v>
      </c>
    </row>
    <row r="13" spans="2:10" ht="12.75">
      <c r="B13">
        <v>1</v>
      </c>
      <c r="C13" t="s">
        <v>5</v>
      </c>
      <c r="D13">
        <v>5694048</v>
      </c>
      <c r="E13">
        <v>1360000</v>
      </c>
      <c r="F13">
        <v>1582</v>
      </c>
      <c r="G13">
        <v>194.21</v>
      </c>
      <c r="H13">
        <v>136</v>
      </c>
      <c r="I13">
        <v>1</v>
      </c>
      <c r="J13">
        <v>179.42</v>
      </c>
    </row>
    <row r="14" spans="2:10" ht="12.75">
      <c r="B14">
        <v>1</v>
      </c>
      <c r="C14" t="s">
        <v>6</v>
      </c>
      <c r="D14">
        <v>31736</v>
      </c>
      <c r="E14">
        <v>7580</v>
      </c>
      <c r="F14">
        <v>8.816</v>
      </c>
      <c r="G14">
        <v>1.082</v>
      </c>
      <c r="H14">
        <v>0.758</v>
      </c>
      <c r="I14">
        <v>0.0056</v>
      </c>
      <c r="J14">
        <v>1</v>
      </c>
    </row>
    <row r="17" ht="12.75">
      <c r="C17" t="s">
        <v>9</v>
      </c>
    </row>
    <row r="18" spans="3:4" ht="12.75">
      <c r="C18" t="s">
        <v>10</v>
      </c>
      <c r="D18" t="s">
        <v>11</v>
      </c>
    </row>
    <row r="19" spans="3:4" ht="12.75">
      <c r="C19" t="s">
        <v>12</v>
      </c>
      <c r="D19" t="s">
        <v>13</v>
      </c>
    </row>
    <row r="22" ht="12.75">
      <c r="B22" t="s">
        <v>15</v>
      </c>
    </row>
    <row r="24" spans="6:10" ht="12.75">
      <c r="F24" t="s">
        <v>16</v>
      </c>
      <c r="G24" t="s">
        <v>18</v>
      </c>
      <c r="H24" t="s">
        <v>20</v>
      </c>
      <c r="I24" t="s">
        <v>22</v>
      </c>
      <c r="J24" t="s">
        <v>23</v>
      </c>
    </row>
    <row r="25" spans="2:10" ht="12.75">
      <c r="B25">
        <v>1</v>
      </c>
      <c r="C25" t="s">
        <v>16</v>
      </c>
      <c r="D25" t="s">
        <v>17</v>
      </c>
      <c r="F25">
        <v>1</v>
      </c>
      <c r="G25">
        <v>1.35962</v>
      </c>
      <c r="H25">
        <v>1.34102</v>
      </c>
      <c r="I25">
        <v>101.9716</v>
      </c>
      <c r="J25">
        <v>0.238846</v>
      </c>
    </row>
    <row r="26" spans="2:10" ht="12.75">
      <c r="B26">
        <v>1</v>
      </c>
      <c r="C26" t="s">
        <v>18</v>
      </c>
      <c r="D26" t="s">
        <v>19</v>
      </c>
      <c r="F26">
        <v>0.735499</v>
      </c>
      <c r="G26">
        <v>1</v>
      </c>
      <c r="H26">
        <v>0.98632</v>
      </c>
      <c r="I26">
        <v>75</v>
      </c>
      <c r="J26">
        <v>0.1757</v>
      </c>
    </row>
    <row r="27" spans="2:10" ht="12.75">
      <c r="B27">
        <v>1</v>
      </c>
      <c r="C27" t="s">
        <v>20</v>
      </c>
      <c r="D27" t="s">
        <v>21</v>
      </c>
      <c r="F27">
        <v>0.7457</v>
      </c>
      <c r="G27">
        <v>1.01387</v>
      </c>
      <c r="H27">
        <v>1</v>
      </c>
      <c r="I27">
        <v>76.042</v>
      </c>
      <c r="J27">
        <v>0.17811</v>
      </c>
    </row>
    <row r="28" spans="2:10" ht="12.75">
      <c r="B28">
        <v>1</v>
      </c>
      <c r="C28" t="s">
        <v>22</v>
      </c>
      <c r="F28" t="s">
        <v>24</v>
      </c>
      <c r="G28">
        <v>0.0133333</v>
      </c>
      <c r="H28">
        <v>0.0131509</v>
      </c>
      <c r="I28">
        <v>1</v>
      </c>
      <c r="J28" t="s">
        <v>25</v>
      </c>
    </row>
    <row r="29" spans="2:10" ht="12.75">
      <c r="B29">
        <v>1</v>
      </c>
      <c r="C29" t="s">
        <v>23</v>
      </c>
      <c r="F29">
        <v>4.1868</v>
      </c>
      <c r="G29">
        <v>5.692</v>
      </c>
      <c r="H29">
        <v>5.614</v>
      </c>
      <c r="I29">
        <v>426.939</v>
      </c>
      <c r="J29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A1">
      <selection activeCell="M4" sqref="M4:Q29"/>
    </sheetView>
  </sheetViews>
  <sheetFormatPr defaultColWidth="11.421875" defaultRowHeight="12.75"/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33604</v>
      </c>
      <c r="C7" t="s">
        <v>27</v>
      </c>
      <c r="D7" s="1">
        <v>33694</v>
      </c>
      <c r="E7" s="4">
        <v>3</v>
      </c>
      <c r="F7" s="12">
        <v>79.924</v>
      </c>
      <c r="G7" s="3">
        <f>PRODUCT(F7/3.6)</f>
        <v>22.201111111111114</v>
      </c>
      <c r="H7" s="6">
        <v>10.79</v>
      </c>
      <c r="I7" s="2">
        <f>PRODUCT(H7*3.6)</f>
        <v>38.844</v>
      </c>
      <c r="J7" s="2">
        <f>PRODUCT(F7*H7/12*E7)</f>
        <v>215.59499</v>
      </c>
      <c r="K7" s="2">
        <f>PRODUCT(G7*I7/12*E7)</f>
        <v>215.59499</v>
      </c>
      <c r="M7" s="26"/>
      <c r="N7" s="27"/>
      <c r="O7" s="27"/>
      <c r="P7" s="27"/>
      <c r="Q7" s="28"/>
    </row>
    <row r="8" spans="2:17" ht="12.75">
      <c r="B8" s="1">
        <v>33695</v>
      </c>
      <c r="C8" t="s">
        <v>27</v>
      </c>
      <c r="D8" s="1">
        <v>33785</v>
      </c>
      <c r="E8">
        <v>3</v>
      </c>
      <c r="F8" s="12">
        <v>79.924</v>
      </c>
      <c r="G8" s="3">
        <f>PRODUCT(F8/3.6)</f>
        <v>22.201111111111114</v>
      </c>
      <c r="H8" s="6">
        <v>10.79</v>
      </c>
      <c r="I8" s="2">
        <f>PRODUCT(H8*3.6)</f>
        <v>38.844</v>
      </c>
      <c r="J8" s="2">
        <f>PRODUCT(F8*H8/12*E8)</f>
        <v>215.59499</v>
      </c>
      <c r="K8" s="2">
        <f>PRODUCT(G8*I8/12*E8)</f>
        <v>215.59499</v>
      </c>
      <c r="M8" s="26"/>
      <c r="N8" s="27"/>
      <c r="O8" s="27"/>
      <c r="P8" s="27"/>
      <c r="Q8" s="28"/>
    </row>
    <row r="9" spans="2:17" ht="12.75">
      <c r="B9" s="1">
        <v>33786</v>
      </c>
      <c r="C9" t="s">
        <v>27</v>
      </c>
      <c r="D9" s="1">
        <v>33877</v>
      </c>
      <c r="E9">
        <v>3</v>
      </c>
      <c r="F9" s="12">
        <v>79.924</v>
      </c>
      <c r="G9" s="3">
        <f>PRODUCT(F9/3.6)</f>
        <v>22.201111111111114</v>
      </c>
      <c r="H9" s="6">
        <v>10.79</v>
      </c>
      <c r="I9" s="2">
        <f>PRODUCT(H9*3.6)</f>
        <v>38.844</v>
      </c>
      <c r="J9" s="2">
        <f>PRODUCT(F9*H9/12*E9)</f>
        <v>215.59499</v>
      </c>
      <c r="K9" s="2">
        <f>PRODUCT(G9*I9/12*E9)</f>
        <v>215.59499</v>
      </c>
      <c r="M9" s="26"/>
      <c r="N9" s="27"/>
      <c r="O9" s="27"/>
      <c r="P9" s="27"/>
      <c r="Q9" s="28"/>
    </row>
    <row r="10" spans="2:17" ht="12.75">
      <c r="B10" s="1">
        <v>33878</v>
      </c>
      <c r="C10" t="s">
        <v>27</v>
      </c>
      <c r="D10" s="1">
        <v>33969</v>
      </c>
      <c r="E10">
        <v>3</v>
      </c>
      <c r="F10" s="12">
        <v>79.924</v>
      </c>
      <c r="G10" s="3">
        <f>PRODUCT(F10/3.6)</f>
        <v>22.201111111111114</v>
      </c>
      <c r="H10" s="6">
        <v>10.79</v>
      </c>
      <c r="I10" s="2">
        <f>PRODUCT(H10*3.6)</f>
        <v>38.844</v>
      </c>
      <c r="J10" s="2">
        <f>PRODUCT(F10*H10/12*E10)</f>
        <v>215.59499</v>
      </c>
      <c r="K10" s="2">
        <f>PRODUCT(G10*I10/12*E10)</f>
        <v>215.59499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862.37996</v>
      </c>
      <c r="K12" s="2">
        <f>SUM(K7:K10)</f>
        <v>862.37996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33604</v>
      </c>
      <c r="C18" t="s">
        <v>27</v>
      </c>
      <c r="D18" s="1">
        <v>33694</v>
      </c>
      <c r="F18">
        <v>4.047</v>
      </c>
      <c r="G18">
        <f>PRODUCT(F18*1000)</f>
        <v>4046.9999999999995</v>
      </c>
      <c r="H18" s="12">
        <v>20.52</v>
      </c>
      <c r="J18" s="2">
        <f>PRODUCT(F18*H18)</f>
        <v>83.04444</v>
      </c>
      <c r="M18" s="33">
        <f>PRODUCT(G18*N16*1.19)</f>
        <v>288.95579999999995</v>
      </c>
      <c r="N18" s="27"/>
      <c r="O18" s="27"/>
      <c r="P18" s="27"/>
      <c r="Q18" s="28"/>
    </row>
    <row r="19" spans="2:17" ht="12.75">
      <c r="B19" s="1">
        <v>33695</v>
      </c>
      <c r="C19" t="s">
        <v>27</v>
      </c>
      <c r="D19" s="1">
        <v>33785</v>
      </c>
      <c r="F19" s="3">
        <v>0.88</v>
      </c>
      <c r="G19">
        <v>1561</v>
      </c>
      <c r="H19" s="12">
        <v>20.52</v>
      </c>
      <c r="J19">
        <f>PRODUCT(F19*H19)</f>
        <v>18.0576</v>
      </c>
      <c r="M19" s="33">
        <f>PRODUCT(G19*N16*1.19)</f>
        <v>111.4554</v>
      </c>
      <c r="N19" s="27"/>
      <c r="O19" s="27"/>
      <c r="P19" s="27"/>
      <c r="Q19" s="28"/>
    </row>
    <row r="20" spans="2:17" ht="12.75">
      <c r="B20" s="1">
        <v>33786</v>
      </c>
      <c r="C20" t="s">
        <v>27</v>
      </c>
      <c r="D20" s="1">
        <v>33877</v>
      </c>
      <c r="F20" s="3">
        <v>0.286</v>
      </c>
      <c r="G20">
        <f>PRODUCT(F20*1000)</f>
        <v>286</v>
      </c>
      <c r="H20" s="12">
        <v>20.52</v>
      </c>
      <c r="J20" s="2">
        <f>PRODUCT(F20*H20)</f>
        <v>5.86872</v>
      </c>
      <c r="M20" s="33">
        <f>PRODUCT(G20*N16*1.19)</f>
        <v>20.4204</v>
      </c>
      <c r="N20" s="27"/>
      <c r="O20" s="27"/>
      <c r="P20" s="27"/>
      <c r="Q20" s="28"/>
    </row>
    <row r="21" spans="2:17" ht="12.75">
      <c r="B21" s="1">
        <v>33878</v>
      </c>
      <c r="C21" t="s">
        <v>27</v>
      </c>
      <c r="D21" s="1">
        <v>33969</v>
      </c>
      <c r="F21" s="3">
        <v>1.854</v>
      </c>
      <c r="G21">
        <f>PRODUCT(F21*1000)</f>
        <v>1854</v>
      </c>
      <c r="H21" s="12">
        <v>20.52</v>
      </c>
      <c r="J21" s="2">
        <f>PRODUCT(F21*H21)</f>
        <v>38.04408</v>
      </c>
      <c r="M21" s="33">
        <f>PRODUCT(G21*N16*1.19)</f>
        <v>132.3756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145.01484</v>
      </c>
      <c r="M23" s="29">
        <f>SUM(M18:M21)</f>
        <v>553.2072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7.066999999999999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7066.999999999999</v>
      </c>
      <c r="H26" s="15" t="s">
        <v>48</v>
      </c>
      <c r="I26" s="16">
        <f>PRODUCT(F26/10)</f>
        <v>706.6999999999999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185.1554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1108.0129666666667</v>
      </c>
      <c r="N28" s="30" t="s">
        <v>49</v>
      </c>
      <c r="O28" s="32" t="s">
        <v>88</v>
      </c>
      <c r="P28" s="32"/>
      <c r="Q28" s="38">
        <f>SUM(F34-M28)</f>
        <v>60.565001333333385</v>
      </c>
    </row>
    <row r="29" spans="2:17" ht="12.75">
      <c r="B29" t="s">
        <v>36</v>
      </c>
      <c r="D29" s="2">
        <f>SUM(J7+J18)</f>
        <v>298.63943</v>
      </c>
      <c r="E29" s="2">
        <f>PRODUCT(D29/100*16)</f>
        <v>47.7823088</v>
      </c>
      <c r="F29" s="2">
        <f>SUM(D29+E29)</f>
        <v>346.4217388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233.65259</v>
      </c>
      <c r="E30" s="2">
        <f>SUM(D30/100*16)</f>
        <v>37.3844144</v>
      </c>
      <c r="F30" s="2">
        <f>SUM(D30+E30)</f>
        <v>271.0370044</v>
      </c>
      <c r="G30" t="s">
        <v>49</v>
      </c>
    </row>
    <row r="31" spans="2:7" ht="12.75">
      <c r="B31" t="s">
        <v>38</v>
      </c>
      <c r="D31" s="2">
        <f>SUM(J9+J20)</f>
        <v>221.46371</v>
      </c>
      <c r="E31" s="2">
        <f>SUM(D31/100*16)</f>
        <v>35.4341936</v>
      </c>
      <c r="F31" s="2">
        <f>SUM(D31+E31)</f>
        <v>256.8979036</v>
      </c>
      <c r="G31" t="s">
        <v>49</v>
      </c>
    </row>
    <row r="32" spans="2:7" ht="12.75">
      <c r="B32" t="s">
        <v>39</v>
      </c>
      <c r="D32" s="2">
        <f>SUM(J10+J21)</f>
        <v>253.63907</v>
      </c>
      <c r="E32" s="2">
        <f>SUM(D32/100*16)</f>
        <v>40.5822512</v>
      </c>
      <c r="F32" s="2">
        <f>SUM(D32+E32)</f>
        <v>294.22132120000003</v>
      </c>
      <c r="G32" t="s">
        <v>49</v>
      </c>
    </row>
    <row r="34" spans="4:11" ht="12.75">
      <c r="D34" s="10" t="s">
        <v>44</v>
      </c>
      <c r="E34" s="10"/>
      <c r="F34" s="7">
        <f>SUM(F29:F32)</f>
        <v>1168.577968</v>
      </c>
      <c r="G34" s="10" t="s">
        <v>49</v>
      </c>
      <c r="H34" t="s">
        <v>58</v>
      </c>
      <c r="J34" s="8">
        <f>'1991'!F34</f>
        <v>1172.6959216</v>
      </c>
      <c r="K34" s="10" t="s">
        <v>49</v>
      </c>
    </row>
    <row r="35" spans="8:11" ht="12.75">
      <c r="H35" t="s">
        <v>59</v>
      </c>
      <c r="J35" s="8">
        <f>SUM(F34-J34)/(J34/100)</f>
        <v>-0.35115271778054113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165.35700693363523</v>
      </c>
      <c r="G37" s="10" t="s">
        <v>49</v>
      </c>
    </row>
    <row r="38" spans="2:7" ht="12.75">
      <c r="B38" s="10" t="s">
        <v>47</v>
      </c>
      <c r="C38" s="10"/>
      <c r="E38" s="5">
        <v>0.262</v>
      </c>
      <c r="F38" s="7">
        <f>PRODUCT(E38*100)</f>
        <v>26.200000000000003</v>
      </c>
      <c r="G38" s="10" t="s">
        <v>49</v>
      </c>
    </row>
    <row r="39" spans="2:7" ht="12.75">
      <c r="B39" s="10" t="s">
        <v>60</v>
      </c>
      <c r="C39" s="10"/>
      <c r="E39" s="5"/>
      <c r="F39" s="7">
        <f>SUM(F37-F38)</f>
        <v>139.15700693363522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983.422568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4.416874999999999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15.900749999999997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A1">
      <selection activeCell="M4" sqref="M4:Q29"/>
    </sheetView>
  </sheetViews>
  <sheetFormatPr defaultColWidth="11.421875" defaultRowHeight="12.75"/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33239</v>
      </c>
      <c r="C7" t="s">
        <v>27</v>
      </c>
      <c r="D7" s="1">
        <v>33328</v>
      </c>
      <c r="E7" s="4">
        <v>3</v>
      </c>
      <c r="F7" s="12">
        <v>79.924</v>
      </c>
      <c r="G7" s="3">
        <f>PRODUCT(F7/3.6)</f>
        <v>22.201111111111114</v>
      </c>
      <c r="H7" s="6">
        <v>10.79</v>
      </c>
      <c r="I7" s="2">
        <f>PRODUCT(H7*3.6)</f>
        <v>38.844</v>
      </c>
      <c r="J7" s="2">
        <f>PRODUCT(F7*H7/12*E7)</f>
        <v>215.59499</v>
      </c>
      <c r="K7" s="2">
        <f>PRODUCT(G7*I7/12*E7)</f>
        <v>215.59499</v>
      </c>
      <c r="M7" s="26"/>
      <c r="N7" s="27"/>
      <c r="O7" s="27"/>
      <c r="P7" s="27"/>
      <c r="Q7" s="28"/>
    </row>
    <row r="8" spans="2:17" ht="12.75">
      <c r="B8" s="1">
        <v>33329</v>
      </c>
      <c r="C8" t="s">
        <v>27</v>
      </c>
      <c r="D8" s="1">
        <v>33419</v>
      </c>
      <c r="E8">
        <v>3</v>
      </c>
      <c r="F8" s="12">
        <v>79.924</v>
      </c>
      <c r="G8" s="3">
        <f>PRODUCT(F8/3.6)</f>
        <v>22.201111111111114</v>
      </c>
      <c r="H8" s="6">
        <v>10.79</v>
      </c>
      <c r="I8" s="2">
        <f>PRODUCT(H8*3.6)</f>
        <v>38.844</v>
      </c>
      <c r="J8" s="2">
        <f>PRODUCT(F8*H8/12*E8)</f>
        <v>215.59499</v>
      </c>
      <c r="K8" s="2">
        <f>PRODUCT(G8*I8/12*E8)</f>
        <v>215.59499</v>
      </c>
      <c r="M8" s="26"/>
      <c r="N8" s="27"/>
      <c r="O8" s="27"/>
      <c r="P8" s="27"/>
      <c r="Q8" s="28"/>
    </row>
    <row r="9" spans="2:17" ht="12.75">
      <c r="B9" s="1">
        <v>33420</v>
      </c>
      <c r="C9" t="s">
        <v>27</v>
      </c>
      <c r="D9" s="1">
        <v>33511</v>
      </c>
      <c r="E9">
        <v>3</v>
      </c>
      <c r="F9" s="12">
        <v>79.924</v>
      </c>
      <c r="G9" s="3">
        <f>PRODUCT(F9/3.6)</f>
        <v>22.201111111111114</v>
      </c>
      <c r="H9" s="6">
        <v>10.79</v>
      </c>
      <c r="I9" s="2">
        <f>PRODUCT(H9*3.6)</f>
        <v>38.844</v>
      </c>
      <c r="J9" s="2">
        <f>PRODUCT(F9*H9/12*E9)</f>
        <v>215.59499</v>
      </c>
      <c r="K9" s="2">
        <f>PRODUCT(G9*I9/12*E9)</f>
        <v>215.59499</v>
      </c>
      <c r="M9" s="26"/>
      <c r="N9" s="27"/>
      <c r="O9" s="27"/>
      <c r="P9" s="27"/>
      <c r="Q9" s="28"/>
    </row>
    <row r="10" spans="2:17" ht="12.75">
      <c r="B10" s="1">
        <v>33512</v>
      </c>
      <c r="C10" t="s">
        <v>27</v>
      </c>
      <c r="D10" s="1">
        <v>33603</v>
      </c>
      <c r="E10">
        <v>3</v>
      </c>
      <c r="F10" s="12">
        <v>79.924</v>
      </c>
      <c r="G10" s="3">
        <f>PRODUCT(F10/3.6)</f>
        <v>22.201111111111114</v>
      </c>
      <c r="H10" s="6">
        <v>10.79</v>
      </c>
      <c r="I10" s="2">
        <f>PRODUCT(H10*3.6)</f>
        <v>38.844</v>
      </c>
      <c r="J10" s="2">
        <f>PRODUCT(F10*H10/12*E10)</f>
        <v>215.59499</v>
      </c>
      <c r="K10" s="2">
        <f>PRODUCT(G10*I10/12*E10)</f>
        <v>215.59499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862.37996</v>
      </c>
      <c r="K12" s="2">
        <f>SUM(K7:K10)</f>
        <v>862.37996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33239</v>
      </c>
      <c r="C18" t="s">
        <v>27</v>
      </c>
      <c r="D18" s="1">
        <v>33328</v>
      </c>
      <c r="F18">
        <v>3.641</v>
      </c>
      <c r="G18">
        <f>PRODUCT(F18*1000)</f>
        <v>3641</v>
      </c>
      <c r="H18" s="12">
        <v>20.52</v>
      </c>
      <c r="J18" s="2">
        <f>PRODUCT(F18*H18)</f>
        <v>74.71332</v>
      </c>
      <c r="M18" s="33">
        <f>PRODUCT(G18*N16*1.19)</f>
        <v>259.96739999999994</v>
      </c>
      <c r="N18" s="27"/>
      <c r="O18" s="27"/>
      <c r="P18" s="27"/>
      <c r="Q18" s="28"/>
    </row>
    <row r="19" spans="2:17" ht="12.75">
      <c r="B19" s="1">
        <v>33329</v>
      </c>
      <c r="C19" t="s">
        <v>27</v>
      </c>
      <c r="D19" s="1">
        <v>33419</v>
      </c>
      <c r="F19" s="3">
        <v>1.487</v>
      </c>
      <c r="G19">
        <v>1561</v>
      </c>
      <c r="H19" s="12">
        <v>20.52</v>
      </c>
      <c r="J19">
        <f>PRODUCT(F19*H19)</f>
        <v>30.51324</v>
      </c>
      <c r="M19" s="33">
        <f>PRODUCT(G19*N16*1.19)</f>
        <v>111.4554</v>
      </c>
      <c r="N19" s="27"/>
      <c r="O19" s="27"/>
      <c r="P19" s="27"/>
      <c r="Q19" s="28"/>
    </row>
    <row r="20" spans="2:17" ht="12.75">
      <c r="B20" s="1">
        <v>33420</v>
      </c>
      <c r="C20" t="s">
        <v>27</v>
      </c>
      <c r="D20" s="1">
        <v>33511</v>
      </c>
      <c r="F20" s="3">
        <v>0.245</v>
      </c>
      <c r="G20">
        <f>PRODUCT(F20*1000)</f>
        <v>245</v>
      </c>
      <c r="H20" s="12">
        <v>20.52</v>
      </c>
      <c r="J20" s="2">
        <f>PRODUCT(F20*H20)</f>
        <v>5.0274</v>
      </c>
      <c r="M20" s="33">
        <f>PRODUCT(G20*N16*1.19)</f>
        <v>17.493</v>
      </c>
      <c r="N20" s="27"/>
      <c r="O20" s="27"/>
      <c r="P20" s="27"/>
      <c r="Q20" s="28"/>
    </row>
    <row r="21" spans="2:17" ht="12.75">
      <c r="B21" s="1">
        <v>33512</v>
      </c>
      <c r="C21" t="s">
        <v>27</v>
      </c>
      <c r="D21" s="1">
        <v>33603</v>
      </c>
      <c r="F21" s="3">
        <v>1.867</v>
      </c>
      <c r="G21">
        <f>PRODUCT(F21*1000)</f>
        <v>1867</v>
      </c>
      <c r="H21" s="12">
        <v>20.52</v>
      </c>
      <c r="J21" s="2">
        <f>PRODUCT(F21*H21)</f>
        <v>38.31084</v>
      </c>
      <c r="M21" s="33">
        <f>PRODUCT(G21*N16*1.19)</f>
        <v>133.3038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148.5648</v>
      </c>
      <c r="M23" s="29">
        <f>SUM(M18:M21)</f>
        <v>522.2195999999999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7.24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7240</v>
      </c>
      <c r="H26" s="15" t="s">
        <v>48</v>
      </c>
      <c r="I26" s="16">
        <f>PRODUCT(F26/10)</f>
        <v>724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208.51199999999997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1077.0253666666667</v>
      </c>
      <c r="N28" s="30" t="s">
        <v>49</v>
      </c>
      <c r="O28" s="32" t="s">
        <v>88</v>
      </c>
      <c r="P28" s="32"/>
      <c r="Q28" s="38">
        <f>SUM(F34-M28)</f>
        <v>95.67055493333328</v>
      </c>
    </row>
    <row r="29" spans="2:17" ht="12.75">
      <c r="B29" t="s">
        <v>36</v>
      </c>
      <c r="D29" s="2">
        <f>SUM(J7+J18)</f>
        <v>290.30831</v>
      </c>
      <c r="E29" s="2">
        <f>PRODUCT(D29/100*16)</f>
        <v>46.4493296</v>
      </c>
      <c r="F29" s="2">
        <f>SUM(D29+E29)</f>
        <v>336.7576396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246.10823</v>
      </c>
      <c r="E30" s="2">
        <f>SUM(D30/100*16)</f>
        <v>39.377316799999996</v>
      </c>
      <c r="F30" s="2">
        <f>SUM(D30+E30)</f>
        <v>285.4855468</v>
      </c>
      <c r="G30" t="s">
        <v>49</v>
      </c>
    </row>
    <row r="31" spans="2:7" ht="12.75">
      <c r="B31" t="s">
        <v>38</v>
      </c>
      <c r="D31" s="2">
        <f>SUM(J9+J20)</f>
        <v>220.62239</v>
      </c>
      <c r="E31" s="2">
        <f>SUM(D31/100*16)</f>
        <v>35.2995824</v>
      </c>
      <c r="F31" s="2">
        <f>SUM(D31+E31)</f>
        <v>255.9219724</v>
      </c>
      <c r="G31" t="s">
        <v>49</v>
      </c>
    </row>
    <row r="32" spans="2:7" ht="12.75">
      <c r="B32" t="s">
        <v>39</v>
      </c>
      <c r="D32" s="2">
        <f>SUM(J10+J21)</f>
        <v>253.90582999999998</v>
      </c>
      <c r="E32" s="2">
        <f>SUM(D32/100*16)</f>
        <v>40.624932799999996</v>
      </c>
      <c r="F32" s="2">
        <f>SUM(D32+E32)</f>
        <v>294.5307628</v>
      </c>
      <c r="G32" t="s">
        <v>49</v>
      </c>
    </row>
    <row r="34" spans="4:11" ht="12.75">
      <c r="D34" s="10" t="s">
        <v>44</v>
      </c>
      <c r="E34" s="10"/>
      <c r="F34" s="7">
        <f>SUM(F29:F32)</f>
        <v>1172.6959216</v>
      </c>
      <c r="G34" s="10" t="s">
        <v>49</v>
      </c>
      <c r="H34" t="s">
        <v>58</v>
      </c>
      <c r="J34" s="8">
        <f>'1990'!F34</f>
        <v>1058.0835136</v>
      </c>
      <c r="K34" s="10" t="s">
        <v>49</v>
      </c>
    </row>
    <row r="35" spans="8:11" ht="12.75">
      <c r="H35" t="s">
        <v>59</v>
      </c>
      <c r="J35" s="8">
        <f>SUM(F34-J34)/(J34/100)</f>
        <v>10.832075779164654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161.97457480662985</v>
      </c>
      <c r="G37" s="10" t="s">
        <v>49</v>
      </c>
    </row>
    <row r="38" spans="2:7" ht="12.75">
      <c r="B38" s="10" t="s">
        <v>47</v>
      </c>
      <c r="C38" s="10"/>
      <c r="E38" s="5">
        <v>0.288</v>
      </c>
      <c r="F38" s="7">
        <f>PRODUCT(E38*100)</f>
        <v>28.799999999999997</v>
      </c>
      <c r="G38" s="10" t="s">
        <v>49</v>
      </c>
    </row>
    <row r="39" spans="2:7" ht="12.75">
      <c r="B39" s="10" t="s">
        <v>60</v>
      </c>
      <c r="C39" s="10"/>
      <c r="E39" s="5"/>
      <c r="F39" s="7">
        <f>SUM(F37-F38)</f>
        <v>133.17457480662983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964.1839216000001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4.525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16.290000000000003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B1">
      <selection activeCell="O33" sqref="O33"/>
    </sheetView>
  </sheetViews>
  <sheetFormatPr defaultColWidth="11.421875" defaultRowHeight="12.75"/>
  <cols>
    <col min="5" max="5" width="7.7109375" style="0" bestFit="1" customWidth="1"/>
    <col min="6" max="6" width="16.57421875" style="0" customWidth="1"/>
    <col min="7" max="7" width="14.421875" style="0" customWidth="1"/>
    <col min="10" max="10" width="15.28125" style="0" customWidth="1"/>
  </cols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32874</v>
      </c>
      <c r="C7" t="s">
        <v>27</v>
      </c>
      <c r="D7" s="1">
        <v>32963</v>
      </c>
      <c r="E7" s="4">
        <v>3</v>
      </c>
      <c r="F7" s="12">
        <v>79.924</v>
      </c>
      <c r="G7" s="3">
        <f>PRODUCT(F7/3.6)</f>
        <v>22.201111111111114</v>
      </c>
      <c r="H7" s="6">
        <v>10.79</v>
      </c>
      <c r="I7" s="2">
        <f>PRODUCT(H7*3.6)</f>
        <v>38.844</v>
      </c>
      <c r="J7" s="2">
        <f>PRODUCT(F7*H7/12*E7)</f>
        <v>215.59499</v>
      </c>
      <c r="K7" s="2">
        <f>PRODUCT(G7*I7/12*E7)</f>
        <v>215.59499</v>
      </c>
      <c r="M7" s="26"/>
      <c r="N7" s="27"/>
      <c r="O7" s="27"/>
      <c r="P7" s="27"/>
      <c r="Q7" s="28"/>
    </row>
    <row r="8" spans="2:17" ht="12.75">
      <c r="B8" s="1">
        <v>32964</v>
      </c>
      <c r="C8" t="s">
        <v>27</v>
      </c>
      <c r="D8" s="1">
        <v>33054</v>
      </c>
      <c r="E8">
        <v>3</v>
      </c>
      <c r="F8" s="12">
        <v>79.924</v>
      </c>
      <c r="G8" s="3">
        <f>PRODUCT(F8/3.6)</f>
        <v>22.201111111111114</v>
      </c>
      <c r="H8" s="6">
        <v>10.79</v>
      </c>
      <c r="I8" s="2">
        <f>PRODUCT(H8*3.6)</f>
        <v>38.844</v>
      </c>
      <c r="J8" s="2">
        <f>PRODUCT(F8*H8/12*E8)</f>
        <v>215.59499</v>
      </c>
      <c r="K8" s="2">
        <f>PRODUCT(G8*I8/12*E8)</f>
        <v>215.59499</v>
      </c>
      <c r="M8" s="26"/>
      <c r="N8" s="27"/>
      <c r="O8" s="27"/>
      <c r="P8" s="27"/>
      <c r="Q8" s="28"/>
    </row>
    <row r="9" spans="2:17" ht="12.75">
      <c r="B9" s="1">
        <v>33055</v>
      </c>
      <c r="C9" t="s">
        <v>27</v>
      </c>
      <c r="D9" s="1">
        <v>33146</v>
      </c>
      <c r="E9">
        <v>3</v>
      </c>
      <c r="F9" s="12">
        <v>79.924</v>
      </c>
      <c r="G9" s="3">
        <f>PRODUCT(F9/3.6)</f>
        <v>22.201111111111114</v>
      </c>
      <c r="H9" s="6">
        <v>10.79</v>
      </c>
      <c r="I9" s="2">
        <f>PRODUCT(H9*3.6)</f>
        <v>38.844</v>
      </c>
      <c r="J9" s="2">
        <f>PRODUCT(F9*H9/12*E9)</f>
        <v>215.59499</v>
      </c>
      <c r="K9" s="2">
        <f>PRODUCT(G9*I9/12*E9)</f>
        <v>215.59499</v>
      </c>
      <c r="M9" s="26"/>
      <c r="N9" s="27"/>
      <c r="O9" s="27"/>
      <c r="P9" s="27"/>
      <c r="Q9" s="28"/>
    </row>
    <row r="10" spans="2:17" ht="12.75">
      <c r="B10" s="1">
        <v>33147</v>
      </c>
      <c r="C10" t="s">
        <v>27</v>
      </c>
      <c r="D10" s="1">
        <v>33238</v>
      </c>
      <c r="E10">
        <v>3</v>
      </c>
      <c r="F10" s="12">
        <v>79.924</v>
      </c>
      <c r="G10" s="3">
        <f>PRODUCT(F10/3.6)</f>
        <v>22.201111111111114</v>
      </c>
      <c r="H10" s="6">
        <v>10.79</v>
      </c>
      <c r="I10" s="2">
        <f>PRODUCT(H10*3.6)</f>
        <v>38.844</v>
      </c>
      <c r="J10" s="2">
        <f>PRODUCT(F10*H10/12*E10)</f>
        <v>215.59499</v>
      </c>
      <c r="K10" s="2">
        <f>PRODUCT(G10*I10/12*E10)</f>
        <v>215.59499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862.37996</v>
      </c>
      <c r="K12" s="2">
        <f>SUM(K7:K10)</f>
        <v>862.37996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32874</v>
      </c>
      <c r="C18" t="s">
        <v>27</v>
      </c>
      <c r="D18" s="1">
        <v>32963</v>
      </c>
      <c r="F18">
        <v>0.1</v>
      </c>
      <c r="G18">
        <f>PRODUCT(F18*1000)</f>
        <v>100</v>
      </c>
      <c r="H18" s="12">
        <v>20.52</v>
      </c>
      <c r="J18" s="2">
        <f>PRODUCT(F18*H18)</f>
        <v>2.052</v>
      </c>
      <c r="M18" s="33">
        <f>PRODUCT(G18*N16*1.19)</f>
        <v>7.14</v>
      </c>
      <c r="N18" s="27"/>
      <c r="O18" s="27"/>
      <c r="P18" s="27"/>
      <c r="Q18" s="28"/>
    </row>
    <row r="19" spans="2:17" ht="12.75">
      <c r="B19" s="1">
        <v>32964</v>
      </c>
      <c r="C19" t="s">
        <v>27</v>
      </c>
      <c r="D19" s="1">
        <v>33054</v>
      </c>
      <c r="F19" s="3">
        <v>0.1</v>
      </c>
      <c r="G19">
        <v>1561</v>
      </c>
      <c r="H19" s="12">
        <v>20.52</v>
      </c>
      <c r="J19">
        <f>PRODUCT(F19*H19)</f>
        <v>2.052</v>
      </c>
      <c r="M19" s="33">
        <f>PRODUCT(G19*N16*1.19)</f>
        <v>111.4554</v>
      </c>
      <c r="N19" s="27"/>
      <c r="O19" s="27"/>
      <c r="P19" s="27"/>
      <c r="Q19" s="28"/>
    </row>
    <row r="20" spans="2:17" ht="12.75">
      <c r="B20" s="1">
        <v>33055</v>
      </c>
      <c r="C20" t="s">
        <v>27</v>
      </c>
      <c r="D20" s="1">
        <v>33146</v>
      </c>
      <c r="F20" s="3">
        <v>0.358</v>
      </c>
      <c r="G20">
        <f>PRODUCT(F20*1000)</f>
        <v>358</v>
      </c>
      <c r="H20" s="12">
        <v>20.52</v>
      </c>
      <c r="J20" s="2">
        <f>PRODUCT(F20*H20)</f>
        <v>7.346159999999999</v>
      </c>
      <c r="M20" s="33">
        <f>PRODUCT(G20*N16*1.19)</f>
        <v>25.5612</v>
      </c>
      <c r="N20" s="27"/>
      <c r="O20" s="27"/>
      <c r="P20" s="27"/>
      <c r="Q20" s="28"/>
    </row>
    <row r="21" spans="2:17" ht="12.75">
      <c r="B21" s="1">
        <v>33147</v>
      </c>
      <c r="C21" t="s">
        <v>27</v>
      </c>
      <c r="D21" s="1">
        <v>33238</v>
      </c>
      <c r="F21" s="3">
        <v>1.867</v>
      </c>
      <c r="G21">
        <f>PRODUCT(F21*1000)</f>
        <v>1867</v>
      </c>
      <c r="H21" s="12">
        <v>20.52</v>
      </c>
      <c r="J21" s="2">
        <f>PRODUCT(F21*H21)</f>
        <v>38.31084</v>
      </c>
      <c r="M21" s="33">
        <f>PRODUCT(G21*N16*1.19)</f>
        <v>133.3038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49.760999999999996</v>
      </c>
      <c r="M23" s="29">
        <f>SUM(M18:M21)</f>
        <v>277.4604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2.425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2425</v>
      </c>
      <c r="H26" s="15" t="s">
        <v>48</v>
      </c>
      <c r="I26" s="16">
        <f>PRODUCT(F26/10)</f>
        <v>242.5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65.7175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832.2661666666668</v>
      </c>
      <c r="N28" s="30" t="s">
        <v>49</v>
      </c>
      <c r="O28" s="32" t="s">
        <v>88</v>
      </c>
      <c r="P28" s="32"/>
      <c r="Q28" s="38">
        <f>SUM(F34-M28)</f>
        <v>225.81734693333328</v>
      </c>
    </row>
    <row r="29" spans="2:17" ht="12.75">
      <c r="B29" t="s">
        <v>36</v>
      </c>
      <c r="D29" s="2">
        <f>SUM(J7+J18)</f>
        <v>217.64699</v>
      </c>
      <c r="E29" s="2">
        <f>PRODUCT(D29/100*16)</f>
        <v>34.8235184</v>
      </c>
      <c r="F29" s="2">
        <f>SUM(D29+E29)</f>
        <v>252.47050839999997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217.64699</v>
      </c>
      <c r="E30" s="2">
        <f>SUM(D30/100*16)</f>
        <v>34.8235184</v>
      </c>
      <c r="F30" s="2">
        <f>SUM(D30+E30)</f>
        <v>252.47050839999997</v>
      </c>
      <c r="G30" t="s">
        <v>49</v>
      </c>
    </row>
    <row r="31" spans="2:7" ht="12.75">
      <c r="B31" t="s">
        <v>38</v>
      </c>
      <c r="D31" s="2">
        <f>SUM(J9+J20)</f>
        <v>222.94115</v>
      </c>
      <c r="E31" s="2">
        <f>SUM(D31/100*16)</f>
        <v>35.670584</v>
      </c>
      <c r="F31" s="2">
        <f>SUM(D31+E31)</f>
        <v>258.611734</v>
      </c>
      <c r="G31" t="s">
        <v>49</v>
      </c>
    </row>
    <row r="32" spans="2:7" ht="12.75">
      <c r="B32" t="s">
        <v>39</v>
      </c>
      <c r="D32" s="2">
        <f>SUM(J10+J21)</f>
        <v>253.90582999999998</v>
      </c>
      <c r="E32" s="2">
        <f>SUM(D32/100*16)</f>
        <v>40.624932799999996</v>
      </c>
      <c r="F32" s="2">
        <f>SUM(D32+E32)</f>
        <v>294.5307628</v>
      </c>
      <c r="G32" t="s">
        <v>49</v>
      </c>
    </row>
    <row r="34" spans="4:11" ht="12.75">
      <c r="D34" s="10" t="s">
        <v>44</v>
      </c>
      <c r="E34" s="10"/>
      <c r="F34" s="7">
        <f>SUM(F29:F32)</f>
        <v>1058.0835136</v>
      </c>
      <c r="G34" s="10" t="s">
        <v>49</v>
      </c>
      <c r="H34" t="s">
        <v>58</v>
      </c>
      <c r="J34" s="8">
        <v>1058.08</v>
      </c>
      <c r="K34" s="10" t="s">
        <v>49</v>
      </c>
    </row>
    <row r="35" spans="8:11" ht="12.75">
      <c r="H35" t="s">
        <v>59</v>
      </c>
      <c r="J35" s="8">
        <f>SUM(F34-J34)/(J34/100)</f>
        <v>0.0003320731891854123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436.32309839175264</v>
      </c>
      <c r="G37" s="10" t="s">
        <v>49</v>
      </c>
    </row>
    <row r="38" spans="2:7" ht="12.75">
      <c r="B38" s="10" t="s">
        <v>47</v>
      </c>
      <c r="C38" s="10"/>
      <c r="E38" s="5">
        <v>0.271</v>
      </c>
      <c r="F38" s="7">
        <f>PRODUCT(E38*100)</f>
        <v>27.1</v>
      </c>
      <c r="G38" s="10" t="s">
        <v>49</v>
      </c>
    </row>
    <row r="39" spans="2:7" ht="12.75">
      <c r="B39" s="10" t="s">
        <v>60</v>
      </c>
      <c r="C39" s="10"/>
      <c r="E39" s="5"/>
      <c r="F39" s="7">
        <f>SUM(F37-F38)</f>
        <v>409.2230983917526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992.3660136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1.515625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5.45625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R48"/>
  <sheetViews>
    <sheetView workbookViewId="0" topLeftCell="D1">
      <selection activeCell="R35" sqref="R35"/>
    </sheetView>
  </sheetViews>
  <sheetFormatPr defaultColWidth="11.421875" defaultRowHeight="12.75"/>
  <cols>
    <col min="6" max="6" width="14.00390625" style="0" customWidth="1"/>
    <col min="7" max="7" width="14.140625" style="0" customWidth="1"/>
    <col min="8" max="8" width="14.421875" style="0" customWidth="1"/>
    <col min="10" max="10" width="15.421875" style="0" customWidth="1"/>
  </cols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39814</v>
      </c>
      <c r="C7" t="s">
        <v>27</v>
      </c>
      <c r="D7" s="1">
        <v>39903</v>
      </c>
      <c r="E7" s="4">
        <v>3</v>
      </c>
      <c r="F7" s="12">
        <v>79.924</v>
      </c>
      <c r="G7" s="3">
        <f>PRODUCT(F7/3.6)</f>
        <v>22.201111111111114</v>
      </c>
      <c r="H7" s="6">
        <v>15</v>
      </c>
      <c r="I7" s="2">
        <f>PRODUCT(H7*3.6)</f>
        <v>54</v>
      </c>
      <c r="J7" s="2">
        <f>PRODUCT(F7*H7/12*E7)</f>
        <v>299.71500000000003</v>
      </c>
      <c r="K7" s="2">
        <f>PRODUCT(G7*I7/12*E7)</f>
        <v>299.71500000000003</v>
      </c>
      <c r="M7" s="26"/>
      <c r="N7" s="27"/>
      <c r="O7" s="27"/>
      <c r="P7" s="27"/>
      <c r="Q7" s="28"/>
    </row>
    <row r="8" spans="2:17" ht="12.75">
      <c r="B8" s="1">
        <v>39904</v>
      </c>
      <c r="C8" t="s">
        <v>27</v>
      </c>
      <c r="D8" s="1">
        <v>39994</v>
      </c>
      <c r="E8">
        <v>3</v>
      </c>
      <c r="F8" s="12">
        <v>79.924</v>
      </c>
      <c r="G8" s="3">
        <f>PRODUCT(F8/3.6)</f>
        <v>22.201111111111114</v>
      </c>
      <c r="H8" s="6">
        <v>15</v>
      </c>
      <c r="I8" s="2">
        <f>PRODUCT(H8*3.6)</f>
        <v>54</v>
      </c>
      <c r="J8" s="2">
        <f>PRODUCT(F8*H8/12*E8)</f>
        <v>299.71500000000003</v>
      </c>
      <c r="K8" s="2">
        <f>PRODUCT(G8*I8/12*E8)</f>
        <v>299.71500000000003</v>
      </c>
      <c r="M8" s="26"/>
      <c r="N8" s="27"/>
      <c r="O8" s="27"/>
      <c r="P8" s="27"/>
      <c r="Q8" s="28"/>
    </row>
    <row r="9" spans="2:18" ht="12.75">
      <c r="B9" s="1">
        <v>39995</v>
      </c>
      <c r="C9" t="s">
        <v>27</v>
      </c>
      <c r="D9" s="1">
        <v>40086</v>
      </c>
      <c r="E9">
        <v>3</v>
      </c>
      <c r="F9" s="12">
        <v>79.924</v>
      </c>
      <c r="G9" s="3">
        <f>PRODUCT(F9/3.6)</f>
        <v>22.201111111111114</v>
      </c>
      <c r="H9" s="6">
        <v>15</v>
      </c>
      <c r="I9" s="2">
        <f>PRODUCT(H9*3.6)</f>
        <v>54</v>
      </c>
      <c r="J9" s="2">
        <f>PRODUCT(F9*H9/12*E9)</f>
        <v>299.71500000000003</v>
      </c>
      <c r="K9" s="2">
        <f>PRODUCT(G9*I9/12*E9)</f>
        <v>299.71500000000003</v>
      </c>
      <c r="M9" s="26"/>
      <c r="N9" s="27"/>
      <c r="O9" s="27"/>
      <c r="P9" s="27"/>
      <c r="Q9" s="28"/>
      <c r="R9" s="10" t="s">
        <v>49</v>
      </c>
    </row>
    <row r="10" spans="2:17" ht="12.75">
      <c r="B10" s="1">
        <v>40087</v>
      </c>
      <c r="C10" t="s">
        <v>27</v>
      </c>
      <c r="D10" s="1">
        <v>40178</v>
      </c>
      <c r="E10">
        <v>3</v>
      </c>
      <c r="F10" s="12">
        <v>79.924</v>
      </c>
      <c r="G10" s="3">
        <f>PRODUCT(F10/3.6)</f>
        <v>22.201111111111114</v>
      </c>
      <c r="H10" s="6">
        <v>15</v>
      </c>
      <c r="I10" s="2">
        <f>PRODUCT(H10*3.6)</f>
        <v>54</v>
      </c>
      <c r="J10" s="2">
        <f>PRODUCT(F10*H10/12*E10)</f>
        <v>299.71500000000003</v>
      </c>
      <c r="K10" s="2">
        <f>PRODUCT(G10*I10/12*E10)</f>
        <v>299.71500000000003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1198.8600000000001</v>
      </c>
      <c r="K12" s="2">
        <f>SUM(K7:K10)</f>
        <v>1198.8600000000001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39814</v>
      </c>
      <c r="C18" t="s">
        <v>27</v>
      </c>
      <c r="D18" s="1">
        <v>39903</v>
      </c>
      <c r="F18">
        <v>9.572</v>
      </c>
      <c r="G18">
        <f>PRODUCT(F18*1000)</f>
        <v>9572</v>
      </c>
      <c r="H18" s="6">
        <v>62.5</v>
      </c>
      <c r="J18" s="2">
        <f>PRODUCT(F18*H18)</f>
        <v>598.25</v>
      </c>
      <c r="M18" s="33">
        <f>PRODUCT(G18*N16*1.19)</f>
        <v>683.4407999999999</v>
      </c>
      <c r="N18" s="27"/>
      <c r="O18" s="27"/>
      <c r="P18" s="27"/>
      <c r="Q18" s="28"/>
    </row>
    <row r="19" spans="2:17" ht="12.75">
      <c r="B19" s="1">
        <v>39904</v>
      </c>
      <c r="C19" t="s">
        <v>27</v>
      </c>
      <c r="D19" s="1">
        <v>39994</v>
      </c>
      <c r="F19" s="3">
        <v>3.279</v>
      </c>
      <c r="G19">
        <f>PRODUCT(F19*1000)</f>
        <v>3279</v>
      </c>
      <c r="H19" s="6">
        <v>62.5</v>
      </c>
      <c r="J19">
        <f>PRODUCT(F19*H19)</f>
        <v>204.9375</v>
      </c>
      <c r="M19" s="33">
        <f>PRODUCT(G19*N16*1.19)</f>
        <v>234.12059999999997</v>
      </c>
      <c r="N19" s="27"/>
      <c r="O19" s="27"/>
      <c r="P19" s="27"/>
      <c r="Q19" s="28"/>
    </row>
    <row r="20" spans="2:17" ht="12.75">
      <c r="B20" s="1">
        <v>39995</v>
      </c>
      <c r="C20" t="s">
        <v>27</v>
      </c>
      <c r="D20" s="1">
        <v>40086</v>
      </c>
      <c r="F20" s="3">
        <v>1.743</v>
      </c>
      <c r="G20">
        <f>PRODUCT(F20*1000)</f>
        <v>1743</v>
      </c>
      <c r="H20" s="6">
        <v>62.5</v>
      </c>
      <c r="J20" s="2">
        <f>PRODUCT(F20*H20)</f>
        <v>108.9375</v>
      </c>
      <c r="M20" s="33">
        <f>PRODUCT(G20*N16*1.19)</f>
        <v>124.4502</v>
      </c>
      <c r="N20" s="27"/>
      <c r="O20" s="27"/>
      <c r="P20" s="27"/>
      <c r="Q20" s="28"/>
    </row>
    <row r="21" spans="2:17" ht="12.75">
      <c r="B21" s="1">
        <v>40087</v>
      </c>
      <c r="C21" t="s">
        <v>27</v>
      </c>
      <c r="D21" s="1">
        <v>40178</v>
      </c>
      <c r="F21" s="3">
        <v>9.062</v>
      </c>
      <c r="G21">
        <f>PRODUCT(F21*1000)</f>
        <v>9062</v>
      </c>
      <c r="H21" s="6">
        <v>62.5</v>
      </c>
      <c r="J21" s="2">
        <f>PRODUCT(F21*H21)</f>
        <v>566.375</v>
      </c>
      <c r="M21" s="33">
        <f>PRODUCT(G21*N16*1.19)</f>
        <v>647.0268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1478.5</v>
      </c>
      <c r="M23" s="29">
        <f>SUM(M18:M21)</f>
        <v>1689.0384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23.656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23656</v>
      </c>
      <c r="H26" s="15" t="s">
        <v>48</v>
      </c>
      <c r="I26" s="16">
        <f>PRODUCT(F26/10)</f>
        <v>2365.6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1537.64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2243.8441666666668</v>
      </c>
      <c r="N28" s="27"/>
      <c r="O28" s="32" t="s">
        <v>87</v>
      </c>
      <c r="P28" s="32"/>
      <c r="Q28" s="38">
        <f>SUM(F34-M28)</f>
        <v>942.2142333333336</v>
      </c>
    </row>
    <row r="29" spans="2:17" ht="12.75">
      <c r="B29" t="s">
        <v>36</v>
      </c>
      <c r="D29" s="2">
        <f>SUM(J7+J18)</f>
        <v>897.965</v>
      </c>
      <c r="E29" s="2">
        <f>PRODUCT(D29/100*19)</f>
        <v>170.61335</v>
      </c>
      <c r="F29" s="2">
        <f>SUM(D29+E29)</f>
        <v>1068.57835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504.65250000000003</v>
      </c>
      <c r="E30" s="2">
        <f>SUM(D30/100*19)</f>
        <v>95.88397499999999</v>
      </c>
      <c r="F30" s="2">
        <f>SUM(D30+E30)</f>
        <v>600.536475</v>
      </c>
      <c r="G30" t="s">
        <v>49</v>
      </c>
    </row>
    <row r="31" spans="2:7" ht="12.75">
      <c r="B31" t="s">
        <v>38</v>
      </c>
      <c r="D31" s="2">
        <f>SUM(J9+J20)</f>
        <v>408.65250000000003</v>
      </c>
      <c r="E31" s="2">
        <f>SUM(D31/100*19)</f>
        <v>77.643975</v>
      </c>
      <c r="F31" s="2">
        <f>SUM(D31+E31)</f>
        <v>486.29647500000004</v>
      </c>
      <c r="G31" t="s">
        <v>49</v>
      </c>
    </row>
    <row r="32" spans="2:7" ht="12.75">
      <c r="B32" t="s">
        <v>39</v>
      </c>
      <c r="D32" s="2">
        <f>SUM(J10+J21)</f>
        <v>866.09</v>
      </c>
      <c r="E32" s="2">
        <f>SUM(D32/100*19)</f>
        <v>164.5571</v>
      </c>
      <c r="F32" s="2">
        <f>SUM(D32+E32)</f>
        <v>1030.6471000000001</v>
      </c>
      <c r="G32" t="s">
        <v>49</v>
      </c>
    </row>
    <row r="34" spans="4:11" ht="12.75">
      <c r="D34" s="10" t="s">
        <v>44</v>
      </c>
      <c r="E34" s="10"/>
      <c r="F34" s="7">
        <f>SUM(F29:F32)</f>
        <v>3186.0584000000003</v>
      </c>
      <c r="G34" s="10" t="s">
        <v>49</v>
      </c>
      <c r="H34" t="s">
        <v>58</v>
      </c>
      <c r="J34" s="8">
        <f>'2008'!J34</f>
        <v>2276.121806</v>
      </c>
      <c r="K34" s="10" t="s">
        <v>49</v>
      </c>
    </row>
    <row r="35" spans="8:11" ht="12.75">
      <c r="H35" t="s">
        <v>59</v>
      </c>
      <c r="J35" s="8">
        <f>SUM(F34-J34)/(J34/100)</f>
        <v>39.977499956344616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134.68288806222526</v>
      </c>
      <c r="G37" s="10" t="s">
        <v>49</v>
      </c>
    </row>
    <row r="38" spans="2:7" ht="12.75">
      <c r="B38" s="10" t="s">
        <v>47</v>
      </c>
      <c r="C38" s="10"/>
      <c r="E38" s="5">
        <v>0.65</v>
      </c>
      <c r="F38" s="10">
        <f>PRODUCT(E38*100)</f>
        <v>65</v>
      </c>
      <c r="G38" s="10" t="s">
        <v>49</v>
      </c>
    </row>
    <row r="39" spans="2:7" ht="12.75">
      <c r="B39" s="10" t="s">
        <v>60</v>
      </c>
      <c r="C39" s="10"/>
      <c r="E39" s="5"/>
      <c r="F39" s="7">
        <f>SUM(F37-F38)</f>
        <v>69.68288806222526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1648.4184000000007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14.785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53.226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Q48"/>
  <sheetViews>
    <sheetView tabSelected="1" workbookViewId="0" topLeftCell="B1">
      <selection activeCell="Q2" sqref="Q2"/>
    </sheetView>
  </sheetViews>
  <sheetFormatPr defaultColWidth="11.421875" defaultRowHeight="12.75"/>
  <cols>
    <col min="6" max="6" width="13.28125" style="0" customWidth="1"/>
    <col min="7" max="7" width="13.8515625" style="0" customWidth="1"/>
    <col min="8" max="8" width="14.140625" style="0" customWidth="1"/>
    <col min="10" max="10" width="15.140625" style="0" customWidth="1"/>
    <col min="14" max="14" width="11.57421875" style="0" bestFit="1" customWidth="1"/>
  </cols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39448</v>
      </c>
      <c r="C7" t="s">
        <v>27</v>
      </c>
      <c r="D7" s="1">
        <v>39538</v>
      </c>
      <c r="E7" s="4">
        <v>3</v>
      </c>
      <c r="F7" s="12">
        <v>79.924</v>
      </c>
      <c r="G7" s="3">
        <f>PRODUCT(F7/3.6)</f>
        <v>22.201111111111114</v>
      </c>
      <c r="H7" s="6">
        <v>12.2</v>
      </c>
      <c r="I7" s="2">
        <f>PRODUCT(H7*3.6)</f>
        <v>43.92</v>
      </c>
      <c r="J7" s="2">
        <f>PRODUCT(F7*H7/12*E7)</f>
        <v>243.7682</v>
      </c>
      <c r="K7" s="2">
        <f>PRODUCT(G7*I7/12*E7)</f>
        <v>243.76820000000004</v>
      </c>
      <c r="M7" s="26"/>
      <c r="N7" s="27"/>
      <c r="O7" s="27"/>
      <c r="P7" s="27"/>
      <c r="Q7" s="28"/>
    </row>
    <row r="8" spans="2:17" ht="12.75">
      <c r="B8" s="1">
        <v>39539</v>
      </c>
      <c r="C8" t="s">
        <v>27</v>
      </c>
      <c r="D8" s="1">
        <v>39629</v>
      </c>
      <c r="E8">
        <v>3</v>
      </c>
      <c r="F8" s="12">
        <v>79.924</v>
      </c>
      <c r="G8" s="3">
        <f>PRODUCT(F8/3.6)</f>
        <v>22.201111111111114</v>
      </c>
      <c r="H8" s="6">
        <v>12.2</v>
      </c>
      <c r="I8" s="2">
        <f>PRODUCT(H8*3.6)</f>
        <v>43.92</v>
      </c>
      <c r="J8" s="2">
        <f>PRODUCT(F8*H8/12*E8)</f>
        <v>243.7682</v>
      </c>
      <c r="K8" s="2">
        <f>PRODUCT(G8*I8/12*E8)</f>
        <v>243.76820000000004</v>
      </c>
      <c r="M8" s="26"/>
      <c r="N8" s="27"/>
      <c r="O8" s="27"/>
      <c r="P8" s="27"/>
      <c r="Q8" s="28"/>
    </row>
    <row r="9" spans="2:17" ht="12.75">
      <c r="B9" s="1">
        <v>39630</v>
      </c>
      <c r="C9" t="s">
        <v>27</v>
      </c>
      <c r="D9" s="1">
        <v>39721</v>
      </c>
      <c r="E9">
        <v>3</v>
      </c>
      <c r="F9" s="12">
        <v>79.924</v>
      </c>
      <c r="G9" s="3">
        <f>PRODUCT(F9/3.6)</f>
        <v>22.201111111111114</v>
      </c>
      <c r="H9" s="6">
        <v>12.2</v>
      </c>
      <c r="I9" s="2">
        <f>PRODUCT(H9*3.6)</f>
        <v>43.92</v>
      </c>
      <c r="J9" s="2">
        <f>PRODUCT(F9*H9/12*E9)</f>
        <v>243.7682</v>
      </c>
      <c r="K9" s="2">
        <f>PRODUCT(G9*I9/12*E9)</f>
        <v>243.76820000000004</v>
      </c>
      <c r="M9" s="26"/>
      <c r="N9" s="27"/>
      <c r="O9" s="27"/>
      <c r="P9" s="27"/>
      <c r="Q9" s="28"/>
    </row>
    <row r="10" spans="2:17" ht="12.75">
      <c r="B10" s="1">
        <v>39722</v>
      </c>
      <c r="C10" t="s">
        <v>27</v>
      </c>
      <c r="D10" s="1">
        <v>39813</v>
      </c>
      <c r="E10">
        <v>3</v>
      </c>
      <c r="F10" s="12">
        <v>79.924</v>
      </c>
      <c r="G10" s="3">
        <f>PRODUCT(F10/3.6)</f>
        <v>22.201111111111114</v>
      </c>
      <c r="H10" s="6">
        <v>30.84</v>
      </c>
      <c r="I10" s="2">
        <f>PRODUCT(H10*3.6)</f>
        <v>111.024</v>
      </c>
      <c r="J10" s="2">
        <f>PRODUCT(F10*H10/12*E10)</f>
        <v>616.2140400000001</v>
      </c>
      <c r="K10" s="2">
        <f>PRODUCT(G10*I10/12*E10)</f>
        <v>616.2140400000001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1347.5186400000002</v>
      </c>
      <c r="K12" s="2">
        <f>SUM(K7:K10)</f>
        <v>1347.5186400000002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39448</v>
      </c>
      <c r="C18" t="s">
        <v>27</v>
      </c>
      <c r="D18" s="1">
        <v>39538</v>
      </c>
      <c r="F18">
        <v>9.572</v>
      </c>
      <c r="G18">
        <f>PRODUCT(F18*1000)</f>
        <v>9572</v>
      </c>
      <c r="H18" s="6">
        <v>42</v>
      </c>
      <c r="J18" s="2">
        <f>PRODUCT(F18*H18)</f>
        <v>402.02399999999994</v>
      </c>
      <c r="M18" s="33">
        <f>PRODUCT(G18*N16*1.19)</f>
        <v>683.4407999999999</v>
      </c>
      <c r="N18" s="27"/>
      <c r="O18" s="27"/>
      <c r="P18" s="27"/>
      <c r="Q18" s="28"/>
    </row>
    <row r="19" spans="2:17" ht="12.75">
      <c r="B19" s="1">
        <v>39539</v>
      </c>
      <c r="C19" t="s">
        <v>27</v>
      </c>
      <c r="D19" s="1">
        <v>39629</v>
      </c>
      <c r="F19" s="3">
        <v>3.279</v>
      </c>
      <c r="G19">
        <f>PRODUCT(F19*1000)</f>
        <v>3279</v>
      </c>
      <c r="H19" s="6">
        <v>58</v>
      </c>
      <c r="J19" s="2">
        <f>PRODUCT(F19*H19)</f>
        <v>190.182</v>
      </c>
      <c r="M19" s="33">
        <f>PRODUCT(G19*N16*1.19)</f>
        <v>234.12059999999997</v>
      </c>
      <c r="N19" s="27"/>
      <c r="O19" s="27"/>
      <c r="P19" s="27"/>
      <c r="Q19" s="28"/>
    </row>
    <row r="20" spans="2:17" ht="12.75">
      <c r="B20" s="1">
        <v>39630</v>
      </c>
      <c r="C20" t="s">
        <v>27</v>
      </c>
      <c r="D20" s="1">
        <v>39721</v>
      </c>
      <c r="F20" s="3">
        <v>1.743</v>
      </c>
      <c r="G20">
        <f>PRODUCT(F20*1000)</f>
        <v>1743</v>
      </c>
      <c r="H20" s="6">
        <v>58</v>
      </c>
      <c r="J20" s="2">
        <f>PRODUCT(F20*H20)</f>
        <v>101.09400000000001</v>
      </c>
      <c r="M20" s="33">
        <f>PRODUCT(G20*N16*1.19)</f>
        <v>124.4502</v>
      </c>
      <c r="N20" s="27"/>
      <c r="O20" s="27"/>
      <c r="P20" s="27"/>
      <c r="Q20" s="28"/>
    </row>
    <row r="21" spans="2:17" ht="12.75">
      <c r="B21" s="1">
        <v>39722</v>
      </c>
      <c r="C21" t="s">
        <v>27</v>
      </c>
      <c r="D21" s="1">
        <v>39813</v>
      </c>
      <c r="F21" s="3">
        <v>9.062</v>
      </c>
      <c r="G21">
        <f>PRODUCT(F21*1000)</f>
        <v>9062</v>
      </c>
      <c r="H21" s="5">
        <v>63.94</v>
      </c>
      <c r="J21" s="2">
        <f>PRODUCT(F21*H21)</f>
        <v>579.42428</v>
      </c>
      <c r="M21" s="33">
        <f>PRODUCT(G21*N16*1.19)</f>
        <v>647.0268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1272.72428</v>
      </c>
      <c r="M23" s="29">
        <f>SUM(M18:M21)</f>
        <v>1689.0384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23.656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23656</v>
      </c>
      <c r="H26" s="15" t="s">
        <v>48</v>
      </c>
      <c r="I26" s="16">
        <f>PRODUCT(F26/10)</f>
        <v>2365.6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2058.072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2243.8441666666668</v>
      </c>
      <c r="N28" s="30" t="s">
        <v>49</v>
      </c>
      <c r="O28" s="32" t="s">
        <v>88</v>
      </c>
      <c r="P28" s="32"/>
      <c r="Q28" s="38">
        <f>SUM(F34-M28)</f>
        <v>874.2449081333334</v>
      </c>
    </row>
    <row r="29" spans="2:17" ht="12.75">
      <c r="B29" t="s">
        <v>36</v>
      </c>
      <c r="D29" s="2">
        <f>SUM(J7+J18)</f>
        <v>645.7922</v>
      </c>
      <c r="E29" s="2">
        <f>PRODUCT(D29/100*19)</f>
        <v>122.700518</v>
      </c>
      <c r="F29" s="2">
        <f>SUM(D29+E29)</f>
        <v>768.492718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433.9502</v>
      </c>
      <c r="E30" s="2">
        <f>SUM(D30/100*19)</f>
        <v>82.450538</v>
      </c>
      <c r="F30" s="2">
        <f>SUM(D30+E30)</f>
        <v>516.400738</v>
      </c>
      <c r="G30" t="s">
        <v>49</v>
      </c>
    </row>
    <row r="31" spans="2:7" ht="12.75">
      <c r="B31" t="s">
        <v>38</v>
      </c>
      <c r="D31" s="2">
        <f>SUM(J9+J20)</f>
        <v>344.86220000000003</v>
      </c>
      <c r="E31" s="2">
        <f>SUM(D31/100*19)</f>
        <v>65.523818</v>
      </c>
      <c r="F31" s="2">
        <f>SUM(D31+E31)</f>
        <v>410.38601800000004</v>
      </c>
      <c r="G31" t="s">
        <v>49</v>
      </c>
    </row>
    <row r="32" spans="2:7" ht="12.75">
      <c r="B32" t="s">
        <v>39</v>
      </c>
      <c r="D32" s="2">
        <f>SUM(J10+J21)</f>
        <v>1195.63832</v>
      </c>
      <c r="E32" s="2">
        <f>SUM(D32/100*19)</f>
        <v>227.17128079999998</v>
      </c>
      <c r="F32" s="2">
        <f>SUM(D32+E32)</f>
        <v>1422.8096008</v>
      </c>
      <c r="G32" t="s">
        <v>49</v>
      </c>
    </row>
    <row r="34" spans="4:11" ht="12.75">
      <c r="D34" s="10" t="s">
        <v>44</v>
      </c>
      <c r="E34" s="10"/>
      <c r="F34" s="7">
        <f>SUM(F29:F32)</f>
        <v>3118.0890748</v>
      </c>
      <c r="G34" s="10" t="s">
        <v>49</v>
      </c>
      <c r="H34" t="s">
        <v>58</v>
      </c>
      <c r="J34" s="8">
        <f>'2007'!J34</f>
        <v>2276.121806</v>
      </c>
      <c r="K34" s="10" t="s">
        <v>49</v>
      </c>
    </row>
    <row r="35" spans="8:11" ht="12.75">
      <c r="H35" t="s">
        <v>59</v>
      </c>
      <c r="J35" s="8">
        <f>SUM(F34-J34)/(J34/100)</f>
        <v>36.991309805148454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131.8096497632736</v>
      </c>
      <c r="G37" s="10" t="s">
        <v>49</v>
      </c>
    </row>
    <row r="38" spans="2:7" ht="12.75">
      <c r="B38" s="10" t="s">
        <v>47</v>
      </c>
      <c r="C38" s="10"/>
      <c r="E38" s="5">
        <v>0.87</v>
      </c>
      <c r="F38" s="10">
        <f>PRODUCT(E38*100)</f>
        <v>87</v>
      </c>
      <c r="G38" s="10" t="s">
        <v>49</v>
      </c>
    </row>
    <row r="39" spans="2:7" ht="12.75">
      <c r="B39" s="10" t="s">
        <v>60</v>
      </c>
      <c r="C39" s="10"/>
      <c r="E39" s="5"/>
      <c r="F39" s="7">
        <f>SUM(F37-F38)</f>
        <v>44.8096497632736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1060.0170748000003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14.785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53.226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A1">
      <selection activeCell="M4" sqref="M4:Q29"/>
    </sheetView>
  </sheetViews>
  <sheetFormatPr defaultColWidth="11.421875" defaultRowHeight="12.75"/>
  <cols>
    <col min="3" max="3" width="9.8515625" style="0" customWidth="1"/>
    <col min="6" max="6" width="12.8515625" style="0" customWidth="1"/>
    <col min="7" max="7" width="13.00390625" style="0" customWidth="1"/>
    <col min="8" max="8" width="13.140625" style="0" customWidth="1"/>
    <col min="10" max="10" width="13.57421875" style="0" customWidth="1"/>
  </cols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39083</v>
      </c>
      <c r="C7" t="s">
        <v>27</v>
      </c>
      <c r="D7" s="1">
        <v>39172</v>
      </c>
      <c r="E7" s="4">
        <v>3</v>
      </c>
      <c r="F7" s="12">
        <v>79.924</v>
      </c>
      <c r="G7" s="3">
        <f>PRODUCT(F7/3.6)</f>
        <v>22.201111111111114</v>
      </c>
      <c r="H7" s="6">
        <v>12.2</v>
      </c>
      <c r="I7" s="2">
        <f>PRODUCT(H7*3.6)</f>
        <v>43.92</v>
      </c>
      <c r="J7" s="2">
        <f>PRODUCT(F7*H7/12*E7)</f>
        <v>243.7682</v>
      </c>
      <c r="K7" s="2">
        <f>PRODUCT(G7*I7/12*E7)</f>
        <v>243.76820000000004</v>
      </c>
      <c r="M7" s="26"/>
      <c r="N7" s="27"/>
      <c r="O7" s="27"/>
      <c r="P7" s="27"/>
      <c r="Q7" s="28"/>
    </row>
    <row r="8" spans="2:17" ht="12.75">
      <c r="B8" s="1">
        <v>39173</v>
      </c>
      <c r="C8" t="s">
        <v>27</v>
      </c>
      <c r="D8" s="1">
        <v>39263</v>
      </c>
      <c r="E8">
        <v>3</v>
      </c>
      <c r="F8" s="12">
        <v>79.924</v>
      </c>
      <c r="G8" s="3">
        <f>PRODUCT(F8/3.6)</f>
        <v>22.201111111111114</v>
      </c>
      <c r="H8" s="6">
        <v>12.2</v>
      </c>
      <c r="I8" s="2">
        <f>PRODUCT(H8*3.6)</f>
        <v>43.92</v>
      </c>
      <c r="J8" s="2">
        <f>PRODUCT(F8*H8/12*E8)</f>
        <v>243.7682</v>
      </c>
      <c r="K8" s="2">
        <f>PRODUCT(G8*I8/12*E8)</f>
        <v>243.76820000000004</v>
      </c>
      <c r="M8" s="26"/>
      <c r="N8" s="27"/>
      <c r="O8" s="27"/>
      <c r="P8" s="27"/>
      <c r="Q8" s="28"/>
    </row>
    <row r="9" spans="2:17" ht="12.75">
      <c r="B9" s="1">
        <v>39264</v>
      </c>
      <c r="C9" t="s">
        <v>27</v>
      </c>
      <c r="D9" s="1">
        <v>39355</v>
      </c>
      <c r="E9">
        <v>3</v>
      </c>
      <c r="F9" s="12">
        <v>79.924</v>
      </c>
      <c r="G9" s="3">
        <f>PRODUCT(F9/3.6)</f>
        <v>22.201111111111114</v>
      </c>
      <c r="H9" s="6">
        <v>12.2</v>
      </c>
      <c r="I9" s="2">
        <f>PRODUCT(H9*3.6)</f>
        <v>43.92</v>
      </c>
      <c r="J9" s="2">
        <f>PRODUCT(F9*H9/12*E9)</f>
        <v>243.7682</v>
      </c>
      <c r="K9" s="2">
        <f>PRODUCT(G9*I9/12*E9)</f>
        <v>243.76820000000004</v>
      </c>
      <c r="M9" s="26"/>
      <c r="N9" s="27"/>
      <c r="O9" s="27"/>
      <c r="P9" s="27"/>
      <c r="Q9" s="28"/>
    </row>
    <row r="10" spans="2:17" ht="12.75">
      <c r="B10" s="1">
        <v>39356</v>
      </c>
      <c r="C10" t="s">
        <v>27</v>
      </c>
      <c r="D10" s="1">
        <v>39447</v>
      </c>
      <c r="E10">
        <v>3</v>
      </c>
      <c r="F10" s="12">
        <v>79.924</v>
      </c>
      <c r="G10" s="3">
        <f>PRODUCT(F10/3.6)</f>
        <v>22.201111111111114</v>
      </c>
      <c r="H10" s="6">
        <v>12.2</v>
      </c>
      <c r="I10" s="2">
        <f>PRODUCT(H10*3.6)</f>
        <v>43.92</v>
      </c>
      <c r="J10" s="2">
        <f>PRODUCT(F10*H10/12*E10)</f>
        <v>243.7682</v>
      </c>
      <c r="K10" s="2">
        <f>PRODUCT(G10*I10/12*E10)</f>
        <v>243.76820000000004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975.0728</v>
      </c>
      <c r="K12" s="2">
        <f>SUM(K7:K10)</f>
        <v>975.0728000000001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39083</v>
      </c>
      <c r="C18" t="s">
        <v>27</v>
      </c>
      <c r="D18" s="1">
        <v>39172</v>
      </c>
      <c r="F18">
        <v>8.376</v>
      </c>
      <c r="G18">
        <f>PRODUCT(F18*1000)</f>
        <v>8376</v>
      </c>
      <c r="H18" s="6">
        <v>42</v>
      </c>
      <c r="J18" s="2">
        <f>PRODUCT(F18*H18)</f>
        <v>351.792</v>
      </c>
      <c r="M18" s="33">
        <f>PRODUCT(G18*N16*1.19)</f>
        <v>598.0464</v>
      </c>
      <c r="N18" s="27"/>
      <c r="O18" s="27"/>
      <c r="P18" s="27"/>
      <c r="Q18" s="28"/>
    </row>
    <row r="19" spans="2:17" ht="12.75">
      <c r="B19" s="1">
        <v>39173</v>
      </c>
      <c r="C19" t="s">
        <v>27</v>
      </c>
      <c r="D19" s="1">
        <v>39263</v>
      </c>
      <c r="F19" s="3">
        <v>2.935</v>
      </c>
      <c r="G19">
        <f>PRODUCT(F19*1000)</f>
        <v>2935</v>
      </c>
      <c r="H19" s="6">
        <v>42</v>
      </c>
      <c r="J19">
        <f>PRODUCT(F19*H19)</f>
        <v>123.27</v>
      </c>
      <c r="M19" s="33">
        <f>PRODUCT(G19*N16*1.19)</f>
        <v>209.559</v>
      </c>
      <c r="N19" s="27"/>
      <c r="O19" s="27"/>
      <c r="P19" s="27"/>
      <c r="Q19" s="28"/>
    </row>
    <row r="20" spans="2:17" ht="12.75">
      <c r="B20" s="1">
        <v>39264</v>
      </c>
      <c r="C20" t="s">
        <v>27</v>
      </c>
      <c r="D20" s="1">
        <v>39355</v>
      </c>
      <c r="F20" s="3">
        <v>2.006</v>
      </c>
      <c r="G20">
        <f>PRODUCT(F20*1000)</f>
        <v>2005.9999999999998</v>
      </c>
      <c r="H20" s="6">
        <v>42</v>
      </c>
      <c r="J20" s="2">
        <f>PRODUCT(F20*H20)</f>
        <v>84.252</v>
      </c>
      <c r="M20" s="33">
        <f>PRODUCT(G20*N16*1.19)</f>
        <v>143.22839999999997</v>
      </c>
      <c r="N20" s="27"/>
      <c r="O20" s="27"/>
      <c r="P20" s="27"/>
      <c r="Q20" s="28"/>
    </row>
    <row r="21" spans="2:17" ht="12.75">
      <c r="B21" s="1">
        <v>39356</v>
      </c>
      <c r="C21" t="s">
        <v>27</v>
      </c>
      <c r="D21" s="1">
        <v>39447</v>
      </c>
      <c r="F21" s="3">
        <v>9.062</v>
      </c>
      <c r="G21">
        <f>PRODUCT(F21*1000)</f>
        <v>9062</v>
      </c>
      <c r="H21" s="6">
        <v>42</v>
      </c>
      <c r="J21" s="2">
        <f>PRODUCT(F21*H21)</f>
        <v>380.604</v>
      </c>
      <c r="M21" s="33">
        <f>PRODUCT(G21*N16*1.19)</f>
        <v>647.0268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939.9179999999999</v>
      </c>
      <c r="M23" s="29">
        <f>SUM(M18:M21)</f>
        <v>1597.8606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22.378999999999998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22378.999999999996</v>
      </c>
      <c r="H26" s="15" t="s">
        <v>48</v>
      </c>
      <c r="I26" s="16">
        <f>PRODUCT(F26/10)</f>
        <v>2237.8999999999996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1488.2034999999998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2152.6663666666664</v>
      </c>
      <c r="N28" s="30" t="s">
        <v>49</v>
      </c>
      <c r="O28" s="32" t="s">
        <v>88</v>
      </c>
      <c r="P28" s="32"/>
      <c r="Q28" s="38">
        <f>SUM(F34-M28)</f>
        <v>126.17268533333345</v>
      </c>
    </row>
    <row r="29" spans="2:17" ht="12.75">
      <c r="B29" t="s">
        <v>36</v>
      </c>
      <c r="D29" s="2">
        <f>SUM(J7+J18)</f>
        <v>595.5602</v>
      </c>
      <c r="E29" s="2">
        <f>PRODUCT(D29/100*19)</f>
        <v>113.156438</v>
      </c>
      <c r="F29" s="2">
        <f>SUM(D29+E29)</f>
        <v>708.716638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367.0382</v>
      </c>
      <c r="E30" s="2">
        <f>SUM(D30/100*19)</f>
        <v>69.737258</v>
      </c>
      <c r="F30" s="2">
        <f>SUM(D30+E30)</f>
        <v>436.775458</v>
      </c>
      <c r="G30" t="s">
        <v>49</v>
      </c>
    </row>
    <row r="31" spans="2:7" ht="12.75">
      <c r="B31" t="s">
        <v>38</v>
      </c>
      <c r="D31" s="2">
        <f>SUM(J9+J20)</f>
        <v>328.0202</v>
      </c>
      <c r="E31" s="2">
        <f>SUM(D31/100*19)</f>
        <v>62.323838</v>
      </c>
      <c r="F31" s="2">
        <f>SUM(D31+E31)</f>
        <v>390.344038</v>
      </c>
      <c r="G31" t="s">
        <v>49</v>
      </c>
    </row>
    <row r="32" spans="2:7" ht="12.75">
      <c r="B32" t="s">
        <v>39</v>
      </c>
      <c r="D32" s="2">
        <f>SUM(J10+J21)</f>
        <v>624.3722</v>
      </c>
      <c r="E32" s="2">
        <f>SUM(D32/100*19)</f>
        <v>118.630718</v>
      </c>
      <c r="F32" s="2">
        <f>SUM(D32+E32)</f>
        <v>743.002918</v>
      </c>
      <c r="G32" t="s">
        <v>49</v>
      </c>
    </row>
    <row r="34" spans="4:11" ht="12.75">
      <c r="D34" s="10" t="s">
        <v>44</v>
      </c>
      <c r="E34" s="10"/>
      <c r="F34" s="7">
        <f>SUM(F29:F32)</f>
        <v>2278.839052</v>
      </c>
      <c r="G34" s="10" t="s">
        <v>49</v>
      </c>
      <c r="H34" t="s">
        <v>58</v>
      </c>
      <c r="J34" s="8">
        <f>'2006'!F34</f>
        <v>2276.121806</v>
      </c>
      <c r="K34" s="10" t="s">
        <v>49</v>
      </c>
    </row>
    <row r="35" spans="8:11" ht="12.75">
      <c r="H35" t="s">
        <v>59</v>
      </c>
      <c r="J35" s="8">
        <f>SUM(F34-J34)/(J34/100)</f>
        <v>0.11938051789833362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101.82935126681264</v>
      </c>
      <c r="G37" s="10" t="s">
        <v>49</v>
      </c>
    </row>
    <row r="38" spans="2:7" ht="12.75">
      <c r="B38" s="10" t="s">
        <v>47</v>
      </c>
      <c r="C38" s="10"/>
      <c r="E38" s="5">
        <v>0.665</v>
      </c>
      <c r="F38" s="10">
        <f>PRODUCT(E38*100)</f>
        <v>66.5</v>
      </c>
      <c r="G38" s="10" t="s">
        <v>49</v>
      </c>
    </row>
    <row r="39" spans="2:7" ht="12.75">
      <c r="B39" s="10" t="s">
        <v>60</v>
      </c>
      <c r="C39" s="10"/>
      <c r="E39" s="5"/>
      <c r="F39" s="7">
        <f>SUM(F37-F38)</f>
        <v>35.32935126681264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790.635552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13.986874999999998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50.35274999999999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B1">
      <selection activeCell="O16" sqref="O16"/>
    </sheetView>
  </sheetViews>
  <sheetFormatPr defaultColWidth="11.421875" defaultRowHeight="12.75"/>
  <cols>
    <col min="6" max="6" width="13.57421875" style="0" customWidth="1"/>
    <col min="7" max="7" width="14.7109375" style="0" customWidth="1"/>
    <col min="8" max="8" width="15.00390625" style="0" customWidth="1"/>
  </cols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38718</v>
      </c>
      <c r="C7" t="s">
        <v>27</v>
      </c>
      <c r="D7" s="1">
        <v>38807</v>
      </c>
      <c r="E7" s="4">
        <v>3</v>
      </c>
      <c r="F7" s="12">
        <v>79.924</v>
      </c>
      <c r="G7" s="3">
        <f>PRODUCT(F7/3.6)</f>
        <v>22.201111111111114</v>
      </c>
      <c r="H7" s="6">
        <v>12.2</v>
      </c>
      <c r="I7" s="2">
        <f>PRODUCT(H7*3.6)</f>
        <v>43.92</v>
      </c>
      <c r="J7" s="2">
        <f>PRODUCT(F7*H7/12*E7)</f>
        <v>243.7682</v>
      </c>
      <c r="K7" s="2">
        <f>PRODUCT(G7*I7/12*E7)</f>
        <v>243.76820000000004</v>
      </c>
      <c r="M7" s="26"/>
      <c r="N7" s="27"/>
      <c r="O7" s="27"/>
      <c r="P7" s="27"/>
      <c r="Q7" s="28"/>
    </row>
    <row r="8" spans="2:17" ht="12.75">
      <c r="B8" s="1">
        <v>38808</v>
      </c>
      <c r="C8" t="s">
        <v>27</v>
      </c>
      <c r="D8" s="1">
        <v>38898</v>
      </c>
      <c r="E8">
        <v>3</v>
      </c>
      <c r="F8" s="12">
        <v>79.924</v>
      </c>
      <c r="G8" s="3">
        <f>PRODUCT(F8/3.6)</f>
        <v>22.201111111111114</v>
      </c>
      <c r="H8" s="6">
        <v>12.2</v>
      </c>
      <c r="I8" s="2">
        <f>PRODUCT(H8*3.6)</f>
        <v>43.92</v>
      </c>
      <c r="J8" s="2">
        <f>PRODUCT(F8*H8/12*E8)</f>
        <v>243.7682</v>
      </c>
      <c r="K8" s="2">
        <f>PRODUCT(G8*I8/12*E8)</f>
        <v>243.76820000000004</v>
      </c>
      <c r="M8" s="26"/>
      <c r="N8" s="27"/>
      <c r="O8" s="27"/>
      <c r="P8" s="27"/>
      <c r="Q8" s="28"/>
    </row>
    <row r="9" spans="2:17" ht="12.75">
      <c r="B9" s="1">
        <v>38899</v>
      </c>
      <c r="C9" t="s">
        <v>27</v>
      </c>
      <c r="D9" s="1">
        <v>38990</v>
      </c>
      <c r="E9">
        <v>3</v>
      </c>
      <c r="F9" s="12">
        <v>79.924</v>
      </c>
      <c r="G9" s="3">
        <f>PRODUCT(F9/3.6)</f>
        <v>22.201111111111114</v>
      </c>
      <c r="H9" s="6">
        <v>12.2</v>
      </c>
      <c r="I9" s="2">
        <f>PRODUCT(H9*3.6)</f>
        <v>43.92</v>
      </c>
      <c r="J9" s="2">
        <f>PRODUCT(F9*H9/12*E9)</f>
        <v>243.7682</v>
      </c>
      <c r="K9" s="2">
        <f>PRODUCT(G9*I9/12*E9)</f>
        <v>243.76820000000004</v>
      </c>
      <c r="M9" s="26"/>
      <c r="N9" s="27"/>
      <c r="O9" s="27"/>
      <c r="P9" s="27"/>
      <c r="Q9" s="28"/>
    </row>
    <row r="10" spans="2:17" ht="12.75">
      <c r="B10" s="1">
        <v>38991</v>
      </c>
      <c r="C10" t="s">
        <v>27</v>
      </c>
      <c r="D10" s="1">
        <v>39082</v>
      </c>
      <c r="E10">
        <v>3</v>
      </c>
      <c r="F10" s="12">
        <v>79.924</v>
      </c>
      <c r="G10" s="3">
        <f>PRODUCT(F10/3.6)</f>
        <v>22.201111111111114</v>
      </c>
      <c r="H10" s="6">
        <v>12.2</v>
      </c>
      <c r="I10" s="2">
        <f>PRODUCT(H10*3.6)</f>
        <v>43.92</v>
      </c>
      <c r="J10" s="2">
        <f>PRODUCT(F10*H10/12*E10)</f>
        <v>243.7682</v>
      </c>
      <c r="K10" s="2">
        <f>PRODUCT(G10*I10/12*E10)</f>
        <v>243.76820000000004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975.0728</v>
      </c>
      <c r="K12" s="2">
        <f>SUM(K7:K10)</f>
        <v>975.0728000000001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0.065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38718</v>
      </c>
      <c r="C18" t="s">
        <v>27</v>
      </c>
      <c r="D18" s="1">
        <v>38807</v>
      </c>
      <c r="F18">
        <v>11.452</v>
      </c>
      <c r="G18">
        <f>PRODUCT(F18*1000)</f>
        <v>11452</v>
      </c>
      <c r="H18" s="6">
        <v>39.7</v>
      </c>
      <c r="J18" s="2">
        <f>PRODUCT(F18*H18)</f>
        <v>454.6444</v>
      </c>
      <c r="M18" s="33">
        <f>PRODUCT(G18*N16*1.19)</f>
        <v>885.8122</v>
      </c>
      <c r="N18" s="27"/>
      <c r="O18" s="27"/>
      <c r="P18" s="27"/>
      <c r="Q18" s="28"/>
    </row>
    <row r="19" spans="2:17" ht="12.75">
      <c r="B19" s="1">
        <v>38808</v>
      </c>
      <c r="C19" t="s">
        <v>27</v>
      </c>
      <c r="D19" s="1">
        <v>38898</v>
      </c>
      <c r="F19" s="3">
        <v>3.879</v>
      </c>
      <c r="G19">
        <f>PRODUCT(F19*1000)</f>
        <v>3879</v>
      </c>
      <c r="H19" s="6">
        <v>39.7</v>
      </c>
      <c r="J19">
        <f>PRODUCT(F19*H19)</f>
        <v>153.99630000000002</v>
      </c>
      <c r="M19" s="33">
        <f>PRODUCT(G19*N16*1.19)</f>
        <v>300.04065</v>
      </c>
      <c r="N19" s="27"/>
      <c r="O19" s="27"/>
      <c r="P19" s="27"/>
      <c r="Q19" s="28"/>
    </row>
    <row r="20" spans="2:17" ht="12.75">
      <c r="B20" s="1">
        <v>38899</v>
      </c>
      <c r="C20" t="s">
        <v>27</v>
      </c>
      <c r="D20" s="1">
        <v>38990</v>
      </c>
      <c r="F20" s="3">
        <v>1.362</v>
      </c>
      <c r="G20">
        <f>PRODUCT(F20*1000)</f>
        <v>1362</v>
      </c>
      <c r="H20" s="6">
        <v>39.7</v>
      </c>
      <c r="J20" s="2">
        <f>PRODUCT(F20*H20)</f>
        <v>54.07140000000001</v>
      </c>
      <c r="M20" s="33">
        <f>PRODUCT(G20*N16*1.19)</f>
        <v>105.3507</v>
      </c>
      <c r="N20" s="27"/>
      <c r="O20" s="27"/>
      <c r="P20" s="27"/>
      <c r="Q20" s="28"/>
    </row>
    <row r="21" spans="2:17" ht="12.75">
      <c r="B21" s="1">
        <v>38991</v>
      </c>
      <c r="C21" t="s">
        <v>27</v>
      </c>
      <c r="D21" s="1">
        <v>39082</v>
      </c>
      <c r="F21" s="3">
        <v>6.925</v>
      </c>
      <c r="G21">
        <f>PRODUCT(F21*1000)</f>
        <v>6925</v>
      </c>
      <c r="H21" s="6">
        <v>39.7</v>
      </c>
      <c r="J21" s="2">
        <f>PRODUCT(F21*H21)</f>
        <v>274.9225</v>
      </c>
      <c r="M21" s="33">
        <f>PRODUCT(G21*N16*1.19)</f>
        <v>535.64875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937.6346000000001</v>
      </c>
      <c r="M23" s="29">
        <f>SUM(M18:M21)</f>
        <v>1826.8523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23.618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23618</v>
      </c>
      <c r="H26" s="15" t="s">
        <v>48</v>
      </c>
      <c r="I26" s="16">
        <f>PRODUCT(F26/10)</f>
        <v>2361.8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1606.0240000000003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2381.6580666666664</v>
      </c>
      <c r="N28" s="30" t="s">
        <v>49</v>
      </c>
      <c r="O28" s="32" t="s">
        <v>88</v>
      </c>
      <c r="P28" s="32"/>
      <c r="Q28" s="38">
        <f>SUM(F34-M28)</f>
        <v>-105.5362606666663</v>
      </c>
    </row>
    <row r="29" spans="2:17" ht="12.75">
      <c r="B29" t="s">
        <v>36</v>
      </c>
      <c r="D29" s="2">
        <f>SUM(J7+J18)</f>
        <v>698.4126</v>
      </c>
      <c r="E29" s="2">
        <f>PRODUCT(D29/100*19)</f>
        <v>132.698394</v>
      </c>
      <c r="F29" s="2">
        <f>SUM(D29+E29)</f>
        <v>831.110994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397.7645</v>
      </c>
      <c r="E30" s="2">
        <f>SUM(D30/100*19)</f>
        <v>75.575255</v>
      </c>
      <c r="F30" s="2">
        <f>SUM(D30+E30)</f>
        <v>473.33975499999997</v>
      </c>
      <c r="G30" t="s">
        <v>49</v>
      </c>
    </row>
    <row r="31" spans="2:7" ht="12.75">
      <c r="B31" t="s">
        <v>38</v>
      </c>
      <c r="D31" s="2">
        <f>SUM(J9+J20)</f>
        <v>297.8396</v>
      </c>
      <c r="E31" s="2">
        <f>SUM(D31/100*19)</f>
        <v>56.589524</v>
      </c>
      <c r="F31" s="2">
        <f>SUM(D31+E31)</f>
        <v>354.429124</v>
      </c>
      <c r="G31" t="s">
        <v>49</v>
      </c>
    </row>
    <row r="32" spans="2:7" ht="12.75">
      <c r="B32" t="s">
        <v>39</v>
      </c>
      <c r="D32" s="2">
        <f>SUM(J10+J21)</f>
        <v>518.6907</v>
      </c>
      <c r="E32" s="2">
        <f>SUM(D32/100*19)</f>
        <v>98.551233</v>
      </c>
      <c r="F32" s="2">
        <f>SUM(D32+E32)</f>
        <v>617.241933</v>
      </c>
      <c r="G32" t="s">
        <v>49</v>
      </c>
    </row>
    <row r="34" spans="4:11" ht="12.75">
      <c r="D34" s="10" t="s">
        <v>44</v>
      </c>
      <c r="E34" s="10"/>
      <c r="F34" s="7">
        <f>SUM(F29:F32)</f>
        <v>2276.121806</v>
      </c>
      <c r="G34" s="10" t="s">
        <v>49</v>
      </c>
      <c r="H34" t="s">
        <v>58</v>
      </c>
      <c r="J34" s="8">
        <f>'2005'!F34</f>
        <v>2294.224562</v>
      </c>
      <c r="K34" s="10" t="s">
        <v>49</v>
      </c>
    </row>
    <row r="35" spans="8:11" ht="12.75">
      <c r="H35" t="s">
        <v>59</v>
      </c>
      <c r="J35" s="8">
        <f>SUM(F34-J34)/(J34/100)</f>
        <v>-0.7890577191022059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96.37233491404862</v>
      </c>
      <c r="G37" s="10" t="s">
        <v>49</v>
      </c>
    </row>
    <row r="38" spans="2:7" ht="12.75">
      <c r="B38" s="10" t="s">
        <v>47</v>
      </c>
      <c r="C38" s="10"/>
      <c r="E38" s="5">
        <v>0.68</v>
      </c>
      <c r="F38" s="10">
        <f>PRODUCT(E38*100)</f>
        <v>68</v>
      </c>
      <c r="G38" s="10" t="s">
        <v>49</v>
      </c>
    </row>
    <row r="39" spans="2:7" ht="12.75">
      <c r="B39" s="10" t="s">
        <v>60</v>
      </c>
      <c r="C39" s="10"/>
      <c r="E39" s="5"/>
      <c r="F39" s="7">
        <f>SUM(F37-F38)</f>
        <v>28.372334914048622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670.0978060000003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14.76125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53.1405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C1">
      <selection activeCell="O16" sqref="O16"/>
    </sheetView>
  </sheetViews>
  <sheetFormatPr defaultColWidth="11.421875" defaultRowHeight="12.75"/>
  <cols>
    <col min="5" max="5" width="12.28125" style="0" customWidth="1"/>
    <col min="6" max="6" width="14.57421875" style="0" customWidth="1"/>
    <col min="7" max="7" width="14.7109375" style="0" customWidth="1"/>
    <col min="8" max="8" width="14.8515625" style="0" customWidth="1"/>
    <col min="10" max="10" width="14.140625" style="0" customWidth="1"/>
  </cols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38353</v>
      </c>
      <c r="C7" t="s">
        <v>27</v>
      </c>
      <c r="D7" s="1">
        <v>38442</v>
      </c>
      <c r="E7" s="4">
        <v>3</v>
      </c>
      <c r="F7" s="12">
        <v>79.924</v>
      </c>
      <c r="G7" s="3">
        <f>PRODUCT(F7/3.6)</f>
        <v>22.201111111111114</v>
      </c>
      <c r="H7" s="6">
        <v>12.2</v>
      </c>
      <c r="I7" s="2">
        <f>PRODUCT(H7*3.6)</f>
        <v>43.92</v>
      </c>
      <c r="J7" s="2">
        <f>PRODUCT(F7*H7/12*E7)</f>
        <v>243.7682</v>
      </c>
      <c r="K7" s="2">
        <f>PRODUCT(G7*I7/12*E7)</f>
        <v>243.76820000000004</v>
      </c>
      <c r="M7" s="26"/>
      <c r="N7" s="27"/>
      <c r="O7" s="27"/>
      <c r="P7" s="27"/>
      <c r="Q7" s="28"/>
    </row>
    <row r="8" spans="2:17" ht="12.75">
      <c r="B8" s="1">
        <v>38443</v>
      </c>
      <c r="C8" t="s">
        <v>27</v>
      </c>
      <c r="D8" s="1">
        <v>38533</v>
      </c>
      <c r="E8">
        <v>3</v>
      </c>
      <c r="F8" s="12">
        <v>79.924</v>
      </c>
      <c r="G8" s="3">
        <f>PRODUCT(F8/3.6)</f>
        <v>22.201111111111114</v>
      </c>
      <c r="H8" s="6">
        <v>12.2</v>
      </c>
      <c r="I8" s="2">
        <f>PRODUCT(H8*3.6)</f>
        <v>43.92</v>
      </c>
      <c r="J8" s="2">
        <f>PRODUCT(F8*H8/12*E8)</f>
        <v>243.7682</v>
      </c>
      <c r="K8" s="2">
        <f>PRODUCT(G8*I8/12*E8)</f>
        <v>243.76820000000004</v>
      </c>
      <c r="M8" s="26"/>
      <c r="N8" s="27"/>
      <c r="O8" s="27"/>
      <c r="P8" s="27"/>
      <c r="Q8" s="28"/>
    </row>
    <row r="9" spans="2:17" ht="12.75">
      <c r="B9" s="1">
        <v>38534</v>
      </c>
      <c r="C9" t="s">
        <v>27</v>
      </c>
      <c r="D9" s="1">
        <v>38625</v>
      </c>
      <c r="E9">
        <v>3</v>
      </c>
      <c r="F9" s="12">
        <v>79.924</v>
      </c>
      <c r="G9" s="3">
        <f>PRODUCT(F9/3.6)</f>
        <v>22.201111111111114</v>
      </c>
      <c r="H9" s="6">
        <v>12.2</v>
      </c>
      <c r="I9" s="2">
        <f>PRODUCT(H9*3.6)</f>
        <v>43.92</v>
      </c>
      <c r="J9" s="2">
        <f>PRODUCT(F9*H9/12*E9)</f>
        <v>243.7682</v>
      </c>
      <c r="K9" s="2">
        <f>PRODUCT(G9*I9/12*E9)</f>
        <v>243.76820000000004</v>
      </c>
      <c r="M9" s="26"/>
      <c r="N9" s="27"/>
      <c r="O9" s="27"/>
      <c r="P9" s="27"/>
      <c r="Q9" s="28"/>
    </row>
    <row r="10" spans="2:17" ht="12.75">
      <c r="B10" s="1">
        <v>38626</v>
      </c>
      <c r="C10" t="s">
        <v>27</v>
      </c>
      <c r="D10" s="1">
        <v>38717</v>
      </c>
      <c r="E10">
        <v>3</v>
      </c>
      <c r="F10" s="12">
        <v>79.924</v>
      </c>
      <c r="G10" s="3">
        <f>PRODUCT(F10/3.6)</f>
        <v>22.201111111111114</v>
      </c>
      <c r="H10" s="6">
        <v>12.2</v>
      </c>
      <c r="I10" s="2">
        <f>PRODUCT(H10*3.6)</f>
        <v>43.92</v>
      </c>
      <c r="J10" s="2">
        <f>PRODUCT(F10*H10/12*E10)</f>
        <v>243.7682</v>
      </c>
      <c r="K10" s="2">
        <f>PRODUCT(G10*I10/12*E10)</f>
        <v>243.76820000000004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975.0728</v>
      </c>
      <c r="K12" s="2">
        <f>SUM(K7:K10)</f>
        <v>975.0728000000001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0.055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38353</v>
      </c>
      <c r="C18" t="s">
        <v>27</v>
      </c>
      <c r="D18" s="1">
        <v>38442</v>
      </c>
      <c r="F18" s="3">
        <v>10.023</v>
      </c>
      <c r="G18">
        <f>PRODUCT(F18*1000)</f>
        <v>10023</v>
      </c>
      <c r="H18" s="6">
        <v>42</v>
      </c>
      <c r="J18" s="2">
        <f>PRODUCT(F18*H18)</f>
        <v>420.966</v>
      </c>
      <c r="M18" s="33">
        <f>PRODUCT(G18*N16*1.19)</f>
        <v>656.0053499999999</v>
      </c>
      <c r="N18" s="27"/>
      <c r="O18" s="27"/>
      <c r="P18" s="27"/>
      <c r="Q18" s="28"/>
    </row>
    <row r="19" spans="2:17" ht="12.75">
      <c r="B19" s="1">
        <v>38443</v>
      </c>
      <c r="C19" t="s">
        <v>27</v>
      </c>
      <c r="D19" s="1">
        <v>38533</v>
      </c>
      <c r="F19" s="3">
        <v>3.653</v>
      </c>
      <c r="G19">
        <f>PRODUCT(F19*1000)</f>
        <v>3653</v>
      </c>
      <c r="H19" s="6">
        <v>42</v>
      </c>
      <c r="J19">
        <f>PRODUCT(F19*H19)</f>
        <v>153.426</v>
      </c>
      <c r="M19" s="33">
        <f>PRODUCT(G19*N16*1.19)</f>
        <v>239.08884999999998</v>
      </c>
      <c r="N19" s="27"/>
      <c r="O19" s="27"/>
      <c r="P19" s="27"/>
      <c r="Q19" s="28"/>
    </row>
    <row r="20" spans="2:17" ht="12.75">
      <c r="B20" s="1">
        <v>38534</v>
      </c>
      <c r="C20" t="s">
        <v>27</v>
      </c>
      <c r="D20" s="1">
        <v>38625</v>
      </c>
      <c r="F20" s="3">
        <v>1.48</v>
      </c>
      <c r="G20">
        <f>PRODUCT(F20*1000)</f>
        <v>1480</v>
      </c>
      <c r="H20" s="6">
        <v>38.5</v>
      </c>
      <c r="J20" s="2">
        <f>PRODUCT(F20*H20)</f>
        <v>56.98</v>
      </c>
      <c r="M20" s="33">
        <f>PRODUCT(G20*N16*1.19)</f>
        <v>96.866</v>
      </c>
      <c r="N20" s="27"/>
      <c r="O20" s="27"/>
      <c r="P20" s="27"/>
      <c r="Q20" s="28"/>
    </row>
    <row r="21" spans="2:17" ht="12.75">
      <c r="B21" s="1">
        <v>38626</v>
      </c>
      <c r="C21" t="s">
        <v>27</v>
      </c>
      <c r="D21" s="1">
        <v>38717</v>
      </c>
      <c r="F21" s="3">
        <v>8.35</v>
      </c>
      <c r="G21">
        <f>PRODUCT(F21*1000)</f>
        <v>8350</v>
      </c>
      <c r="H21" s="6">
        <v>38.5</v>
      </c>
      <c r="J21" s="2">
        <f>PRODUCT(F21*H21)</f>
        <v>321.47499999999997</v>
      </c>
      <c r="M21" s="33">
        <f>PRODUCT(G21*N16*1.19)</f>
        <v>546.5074999999999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952.847</v>
      </c>
      <c r="M23" s="29">
        <f>SUM(M18:M21)</f>
        <v>1538.4676999999997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23.506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23506</v>
      </c>
      <c r="H26" s="15" t="s">
        <v>48</v>
      </c>
      <c r="I26" s="16">
        <f>PRODUCT(F26/10)</f>
        <v>2350.6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1410.36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2093.2734666666665</v>
      </c>
      <c r="N28" s="30" t="s">
        <v>49</v>
      </c>
      <c r="O28" s="32" t="s">
        <v>88</v>
      </c>
      <c r="P28" s="32"/>
      <c r="Q28" s="38">
        <f>SUM(F34-M28)</f>
        <v>200.95109533333334</v>
      </c>
    </row>
    <row r="29" spans="2:17" ht="12.75">
      <c r="B29" t="s">
        <v>36</v>
      </c>
      <c r="D29" s="2">
        <f>SUM(J7+J18)</f>
        <v>664.7342</v>
      </c>
      <c r="E29" s="2">
        <f>PRODUCT(D29/100*19)</f>
        <v>126.299498</v>
      </c>
      <c r="F29" s="2">
        <f>SUM(D29+E29)</f>
        <v>791.033698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397.1942</v>
      </c>
      <c r="E30" s="2">
        <f>SUM(D30/100*19)</f>
        <v>75.466898</v>
      </c>
      <c r="F30" s="2">
        <f>SUM(D30+E30)</f>
        <v>472.66109800000004</v>
      </c>
      <c r="G30" t="s">
        <v>49</v>
      </c>
    </row>
    <row r="31" spans="2:7" ht="12.75">
      <c r="B31" t="s">
        <v>38</v>
      </c>
      <c r="D31" s="2">
        <f>SUM(J9+J20)</f>
        <v>300.7482</v>
      </c>
      <c r="E31" s="2">
        <f>SUM(D31/100*19)</f>
        <v>57.142158</v>
      </c>
      <c r="F31" s="2">
        <f>SUM(D31+E31)</f>
        <v>357.890358</v>
      </c>
      <c r="G31" t="s">
        <v>49</v>
      </c>
    </row>
    <row r="32" spans="2:7" ht="12.75">
      <c r="B32" t="s">
        <v>39</v>
      </c>
      <c r="D32" s="2">
        <f>SUM(J10+J21)</f>
        <v>565.2432</v>
      </c>
      <c r="E32" s="2">
        <f>SUM(D32/100*19)</f>
        <v>107.396208</v>
      </c>
      <c r="F32" s="2">
        <f>SUM(D32+E32)</f>
        <v>672.639408</v>
      </c>
      <c r="G32" t="s">
        <v>49</v>
      </c>
    </row>
    <row r="34" spans="4:11" ht="12.75">
      <c r="D34" s="10" t="s">
        <v>44</v>
      </c>
      <c r="E34" s="10"/>
      <c r="F34" s="7">
        <f>SUM(F29:F32)</f>
        <v>2294.224562</v>
      </c>
      <c r="G34" s="10" t="s">
        <v>49</v>
      </c>
      <c r="H34" t="s">
        <v>58</v>
      </c>
      <c r="J34" s="8">
        <f>'2004'!F34</f>
        <v>2014.1392124</v>
      </c>
      <c r="K34" s="10" t="s">
        <v>49</v>
      </c>
    </row>
    <row r="35" spans="8:11" ht="12.75">
      <c r="H35" t="s">
        <v>59</v>
      </c>
      <c r="J35" s="8">
        <f>SUM(F34-J34)/(J34/100)</f>
        <v>13.90595783427785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97.60165753424657</v>
      </c>
      <c r="G37" s="10" t="s">
        <v>49</v>
      </c>
    </row>
    <row r="38" spans="2:7" ht="12.75">
      <c r="B38" s="10" t="s">
        <v>47</v>
      </c>
      <c r="C38" s="10"/>
      <c r="E38" s="5">
        <v>0.6</v>
      </c>
      <c r="F38" s="10">
        <f>PRODUCT(E38*100)</f>
        <v>60</v>
      </c>
      <c r="G38" s="10" t="s">
        <v>49</v>
      </c>
    </row>
    <row r="39" spans="2:7" ht="12.75">
      <c r="B39" s="10" t="s">
        <v>60</v>
      </c>
      <c r="C39" s="10"/>
      <c r="E39" s="5"/>
      <c r="F39" s="7">
        <f>SUM(F37-F38)</f>
        <v>37.60165753424657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883.8645619999999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14.69125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52.8885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A1">
      <selection activeCell="M4" sqref="M4:Q29"/>
    </sheetView>
  </sheetViews>
  <sheetFormatPr defaultColWidth="11.421875" defaultRowHeight="12.75"/>
  <cols>
    <col min="5" max="5" width="13.8515625" style="0" customWidth="1"/>
    <col min="6" max="6" width="15.57421875" style="0" customWidth="1"/>
    <col min="7" max="7" width="15.00390625" style="0" customWidth="1"/>
    <col min="8" max="8" width="14.28125" style="0" customWidth="1"/>
  </cols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37987</v>
      </c>
      <c r="C7" t="s">
        <v>27</v>
      </c>
      <c r="D7" s="1">
        <v>38077</v>
      </c>
      <c r="E7" s="4">
        <v>3</v>
      </c>
      <c r="F7" s="12">
        <v>79.924</v>
      </c>
      <c r="G7" s="3">
        <f>PRODUCT(F7/3.6)</f>
        <v>22.201111111111114</v>
      </c>
      <c r="H7" s="6">
        <v>10.79</v>
      </c>
      <c r="I7" s="2">
        <f>PRODUCT(H7*3.6)</f>
        <v>38.844</v>
      </c>
      <c r="J7" s="2">
        <f>PRODUCT(F7*H7/12*E7)</f>
        <v>215.59499</v>
      </c>
      <c r="K7" s="2">
        <f>PRODUCT(G7*I7/12*E7)</f>
        <v>215.59499</v>
      </c>
      <c r="M7" s="26"/>
      <c r="N7" s="27"/>
      <c r="O7" s="27"/>
      <c r="P7" s="27"/>
      <c r="Q7" s="28"/>
    </row>
    <row r="8" spans="2:17" ht="12.75">
      <c r="B8" s="1">
        <v>38078</v>
      </c>
      <c r="C8" t="s">
        <v>27</v>
      </c>
      <c r="D8" s="1">
        <v>38168</v>
      </c>
      <c r="E8">
        <v>3</v>
      </c>
      <c r="F8" s="12">
        <v>79.924</v>
      </c>
      <c r="G8" s="3">
        <f>PRODUCT(F8/3.6)</f>
        <v>22.201111111111114</v>
      </c>
      <c r="H8" s="6">
        <v>10.79</v>
      </c>
      <c r="I8" s="2">
        <f>PRODUCT(H8*3.6)</f>
        <v>38.844</v>
      </c>
      <c r="J8" s="2">
        <f>PRODUCT(F8*H8/12*E8)</f>
        <v>215.59499</v>
      </c>
      <c r="K8" s="2">
        <f>PRODUCT(G8*I8/12*E8)</f>
        <v>215.59499</v>
      </c>
      <c r="M8" s="26"/>
      <c r="N8" s="27"/>
      <c r="O8" s="27"/>
      <c r="P8" s="27"/>
      <c r="Q8" s="28"/>
    </row>
    <row r="9" spans="2:17" ht="12.75">
      <c r="B9" s="1">
        <v>38169</v>
      </c>
      <c r="C9" t="s">
        <v>27</v>
      </c>
      <c r="D9" s="1">
        <v>38260</v>
      </c>
      <c r="E9">
        <v>3</v>
      </c>
      <c r="F9" s="12">
        <v>79.924</v>
      </c>
      <c r="G9" s="3">
        <f>PRODUCT(F9/3.6)</f>
        <v>22.201111111111114</v>
      </c>
      <c r="H9" s="6">
        <v>10.79</v>
      </c>
      <c r="I9" s="2">
        <f>PRODUCT(H9*3.6)</f>
        <v>38.844</v>
      </c>
      <c r="J9" s="2">
        <f>PRODUCT(F9*H9/12*E9)</f>
        <v>215.59499</v>
      </c>
      <c r="K9" s="2">
        <f>PRODUCT(G9*I9/12*E9)</f>
        <v>215.59499</v>
      </c>
      <c r="M9" s="26"/>
      <c r="N9" s="27"/>
      <c r="O9" s="27"/>
      <c r="P9" s="27"/>
      <c r="Q9" s="28"/>
    </row>
    <row r="10" spans="2:17" ht="12.75">
      <c r="B10" s="1">
        <v>38261</v>
      </c>
      <c r="C10" t="s">
        <v>27</v>
      </c>
      <c r="D10" s="1">
        <v>38352</v>
      </c>
      <c r="E10">
        <v>3</v>
      </c>
      <c r="F10" s="12">
        <v>79.924</v>
      </c>
      <c r="G10" s="3">
        <f>PRODUCT(F10/3.6)</f>
        <v>22.201111111111114</v>
      </c>
      <c r="H10" s="6">
        <v>10.79</v>
      </c>
      <c r="I10" s="2">
        <f>PRODUCT(H10*3.6)</f>
        <v>38.844</v>
      </c>
      <c r="J10" s="2">
        <f>PRODUCT(F10*H10/12*E10)</f>
        <v>215.59499</v>
      </c>
      <c r="K10" s="2">
        <f>PRODUCT(G10*I10/12*E10)</f>
        <v>215.59499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862.37996</v>
      </c>
      <c r="K12" s="2">
        <f>SUM(K7:K10)</f>
        <v>862.37996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37987</v>
      </c>
      <c r="C18" t="s">
        <v>27</v>
      </c>
      <c r="D18" s="1">
        <v>38077</v>
      </c>
      <c r="F18">
        <v>8.382</v>
      </c>
      <c r="G18">
        <f>PRODUCT(F18*1000)</f>
        <v>8382</v>
      </c>
      <c r="H18" s="12">
        <v>34</v>
      </c>
      <c r="J18" s="2">
        <f>PRODUCT(F18*H18)</f>
        <v>284.988</v>
      </c>
      <c r="M18" s="33">
        <f>PRODUCT(G18*N16*1.19)</f>
        <v>598.4748</v>
      </c>
      <c r="N18" s="27"/>
      <c r="O18" s="27"/>
      <c r="P18" s="27"/>
      <c r="Q18" s="28"/>
    </row>
    <row r="19" spans="2:17" ht="12.75">
      <c r="B19" s="1">
        <v>38078</v>
      </c>
      <c r="C19" t="s">
        <v>27</v>
      </c>
      <c r="D19" s="1">
        <v>38168</v>
      </c>
      <c r="F19" s="3">
        <v>4.4</v>
      </c>
      <c r="G19">
        <f>PRODUCT(F19*1000)</f>
        <v>4400</v>
      </c>
      <c r="H19" s="12">
        <v>38</v>
      </c>
      <c r="J19">
        <f>PRODUCT(F19*H19)</f>
        <v>167.20000000000002</v>
      </c>
      <c r="M19" s="33">
        <f>PRODUCT(G19*N16*1.19)</f>
        <v>314.15999999999997</v>
      </c>
      <c r="N19" s="27"/>
      <c r="O19" s="27"/>
      <c r="P19" s="27"/>
      <c r="Q19" s="28"/>
    </row>
    <row r="20" spans="2:17" ht="12.75">
      <c r="B20" s="1">
        <v>38169</v>
      </c>
      <c r="C20" t="s">
        <v>27</v>
      </c>
      <c r="D20" s="1">
        <v>38260</v>
      </c>
      <c r="F20" s="3">
        <v>1.747</v>
      </c>
      <c r="G20">
        <f>PRODUCT(F20*1000)</f>
        <v>1747</v>
      </c>
      <c r="H20" s="12">
        <v>38</v>
      </c>
      <c r="J20" s="2">
        <f>PRODUCT(F20*H20)</f>
        <v>66.38600000000001</v>
      </c>
      <c r="M20" s="33">
        <f>PRODUCT(G20*N16*1.19)</f>
        <v>124.73579999999998</v>
      </c>
      <c r="N20" s="27"/>
      <c r="O20" s="27"/>
      <c r="P20" s="27"/>
      <c r="Q20" s="28"/>
    </row>
    <row r="21" spans="2:17" ht="12.75">
      <c r="B21" s="1">
        <v>38261</v>
      </c>
      <c r="C21" t="s">
        <v>27</v>
      </c>
      <c r="D21" s="1">
        <v>38352</v>
      </c>
      <c r="F21" s="3">
        <v>8.2</v>
      </c>
      <c r="G21">
        <f>PRODUCT(F21*1000)</f>
        <v>8200</v>
      </c>
      <c r="H21" s="12">
        <v>38</v>
      </c>
      <c r="J21" s="2">
        <f>PRODUCT(F21*H21)</f>
        <v>311.59999999999997</v>
      </c>
      <c r="M21" s="33">
        <f>PRODUCT(G21*N16*1.19)</f>
        <v>585.48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830.174</v>
      </c>
      <c r="M23" s="29">
        <f>SUM(M18:M21)</f>
        <v>1622.8506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22.729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22729</v>
      </c>
      <c r="H26" s="15" t="s">
        <v>48</v>
      </c>
      <c r="I26" s="16">
        <f>PRODUCT(F26/10)</f>
        <v>2272.9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1063.7172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2177.6563666666666</v>
      </c>
      <c r="N28" s="30" t="s">
        <v>49</v>
      </c>
      <c r="O28" s="32" t="s">
        <v>88</v>
      </c>
      <c r="P28" s="32"/>
      <c r="Q28" s="38">
        <f>SUM(F34-M28)</f>
        <v>-163.5171542666667</v>
      </c>
    </row>
    <row r="29" spans="2:17" ht="12.75">
      <c r="B29" t="s">
        <v>36</v>
      </c>
      <c r="D29" s="2">
        <f>SUM(J7+J18)</f>
        <v>500.58299</v>
      </c>
      <c r="E29" s="2">
        <f>PRODUCT(D29/100*19)</f>
        <v>95.1107681</v>
      </c>
      <c r="F29" s="2">
        <f>SUM(D29+E29)</f>
        <v>595.6937581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382.79499</v>
      </c>
      <c r="E30" s="2">
        <f>SUM(D30/100*19)</f>
        <v>72.7310481</v>
      </c>
      <c r="F30" s="2">
        <f>SUM(D30+E30)</f>
        <v>455.5260381</v>
      </c>
      <c r="G30" t="s">
        <v>49</v>
      </c>
    </row>
    <row r="31" spans="2:7" ht="12.75">
      <c r="B31" t="s">
        <v>38</v>
      </c>
      <c r="D31" s="2">
        <f>SUM(J9+J20)</f>
        <v>281.98099</v>
      </c>
      <c r="E31" s="2">
        <f>SUM(D31/100*19)</f>
        <v>53.5763881</v>
      </c>
      <c r="F31" s="2">
        <f>SUM(D31+E31)</f>
        <v>335.55737810000005</v>
      </c>
      <c r="G31" t="s">
        <v>49</v>
      </c>
    </row>
    <row r="32" spans="2:7" ht="12.75">
      <c r="B32" t="s">
        <v>39</v>
      </c>
      <c r="D32" s="2">
        <f>SUM(J10+J21)</f>
        <v>527.19499</v>
      </c>
      <c r="E32" s="2">
        <f>SUM(D32/100*19)</f>
        <v>100.16704809999999</v>
      </c>
      <c r="F32" s="2">
        <f>SUM(D32+E32)</f>
        <v>627.3620381</v>
      </c>
      <c r="G32" t="s">
        <v>49</v>
      </c>
    </row>
    <row r="34" spans="4:11" ht="12.75">
      <c r="D34" s="10" t="s">
        <v>44</v>
      </c>
      <c r="E34" s="10"/>
      <c r="F34" s="7">
        <f>SUM(F29:F32)</f>
        <v>2014.1392124</v>
      </c>
      <c r="G34" s="10" t="s">
        <v>49</v>
      </c>
      <c r="H34" t="s">
        <v>58</v>
      </c>
      <c r="J34" s="8">
        <f>'2003'!F34</f>
        <v>2080.0128524</v>
      </c>
      <c r="K34" s="10" t="s">
        <v>49</v>
      </c>
    </row>
    <row r="35" spans="8:11" ht="12.75">
      <c r="H35" t="s">
        <v>59</v>
      </c>
      <c r="J35" s="8">
        <f>SUM(F34-J34)/(J34/100)</f>
        <v>-3.1669823541711613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88.61539057591622</v>
      </c>
      <c r="G37" s="10" t="s">
        <v>49</v>
      </c>
    </row>
    <row r="38" spans="2:7" ht="12.75">
      <c r="B38" s="10" t="s">
        <v>47</v>
      </c>
      <c r="C38" s="10"/>
      <c r="E38" s="5">
        <v>0.468</v>
      </c>
      <c r="F38" s="10">
        <f>PRODUCT(E38*100)</f>
        <v>46.800000000000004</v>
      </c>
      <c r="G38" s="10" t="s">
        <v>49</v>
      </c>
    </row>
    <row r="39" spans="2:7" ht="12.75">
      <c r="B39" s="10" t="s">
        <v>60</v>
      </c>
      <c r="C39" s="10"/>
      <c r="E39" s="5"/>
      <c r="F39" s="7">
        <f>SUM(F37-F38)</f>
        <v>41.81539057591622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950.4220123999997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14.205625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51.14025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Q48"/>
  <sheetViews>
    <sheetView workbookViewId="0" topLeftCell="A1">
      <selection activeCell="M4" sqref="M4:Q29"/>
    </sheetView>
  </sheetViews>
  <sheetFormatPr defaultColWidth="11.421875" defaultRowHeight="12.75"/>
  <sheetData>
    <row r="4" spans="2:17" ht="12.75">
      <c r="B4" s="13" t="s">
        <v>28</v>
      </c>
      <c r="C4" s="10"/>
      <c r="D4" s="10"/>
      <c r="E4" s="13" t="s">
        <v>31</v>
      </c>
      <c r="F4" s="13" t="s">
        <v>26</v>
      </c>
      <c r="G4" s="13" t="s">
        <v>26</v>
      </c>
      <c r="H4" s="13" t="s">
        <v>30</v>
      </c>
      <c r="I4" s="13" t="s">
        <v>30</v>
      </c>
      <c r="J4" s="13" t="s">
        <v>30</v>
      </c>
      <c r="M4" s="22" t="s">
        <v>82</v>
      </c>
      <c r="N4" s="23">
        <v>1.75</v>
      </c>
      <c r="O4" s="24" t="s">
        <v>83</v>
      </c>
      <c r="P4" s="24"/>
      <c r="Q4" s="25"/>
    </row>
    <row r="5" spans="2:17" ht="12.75">
      <c r="B5" s="10"/>
      <c r="C5" s="10"/>
      <c r="D5" s="10"/>
      <c r="E5" s="13"/>
      <c r="F5" s="13" t="s">
        <v>29</v>
      </c>
      <c r="G5" s="13" t="s">
        <v>50</v>
      </c>
      <c r="H5" s="13" t="s">
        <v>29</v>
      </c>
      <c r="I5" s="13" t="s">
        <v>50</v>
      </c>
      <c r="J5" s="13" t="s">
        <v>54</v>
      </c>
      <c r="M5" s="26"/>
      <c r="N5" s="27"/>
      <c r="O5" s="27"/>
      <c r="P5" s="27"/>
      <c r="Q5" s="28"/>
    </row>
    <row r="6" spans="13:17" ht="12.75">
      <c r="M6" s="26"/>
      <c r="N6" s="27"/>
      <c r="O6" s="27"/>
      <c r="P6" s="27"/>
      <c r="Q6" s="28"/>
    </row>
    <row r="7" spans="2:17" ht="12.75">
      <c r="B7" s="1">
        <v>37622</v>
      </c>
      <c r="C7" t="s">
        <v>27</v>
      </c>
      <c r="D7" s="1">
        <v>37711</v>
      </c>
      <c r="E7" s="4">
        <v>3</v>
      </c>
      <c r="F7" s="12">
        <v>79.924</v>
      </c>
      <c r="G7" s="3">
        <f>PRODUCT(F7/3.6)</f>
        <v>22.201111111111114</v>
      </c>
      <c r="H7" s="6">
        <v>10.79</v>
      </c>
      <c r="I7" s="2">
        <f>PRODUCT(H7*3.6)</f>
        <v>38.844</v>
      </c>
      <c r="J7" s="2">
        <f>PRODUCT(F7*H7/12*E7)</f>
        <v>215.59499</v>
      </c>
      <c r="K7" s="2">
        <f>PRODUCT(G7*I7/12*E7)</f>
        <v>215.59499</v>
      </c>
      <c r="M7" s="26"/>
      <c r="N7" s="27"/>
      <c r="O7" s="27"/>
      <c r="P7" s="27"/>
      <c r="Q7" s="28"/>
    </row>
    <row r="8" spans="2:17" ht="12.75">
      <c r="B8" s="1">
        <v>37712</v>
      </c>
      <c r="C8" t="s">
        <v>27</v>
      </c>
      <c r="D8" s="1">
        <v>37802</v>
      </c>
      <c r="E8">
        <v>3</v>
      </c>
      <c r="F8" s="12">
        <v>79.924</v>
      </c>
      <c r="G8" s="3">
        <f>PRODUCT(F8/3.6)</f>
        <v>22.201111111111114</v>
      </c>
      <c r="H8" s="6">
        <v>10.79</v>
      </c>
      <c r="I8" s="2">
        <f>PRODUCT(H8*3.6)</f>
        <v>38.844</v>
      </c>
      <c r="J8" s="2">
        <f>PRODUCT(F8*H8/12*E8)</f>
        <v>215.59499</v>
      </c>
      <c r="K8" s="2">
        <f>PRODUCT(G8*I8/12*E8)</f>
        <v>215.59499</v>
      </c>
      <c r="M8" s="26"/>
      <c r="N8" s="27"/>
      <c r="O8" s="27"/>
      <c r="P8" s="27"/>
      <c r="Q8" s="28"/>
    </row>
    <row r="9" spans="2:17" ht="12.75">
      <c r="B9" s="1">
        <v>37803</v>
      </c>
      <c r="C9" t="s">
        <v>27</v>
      </c>
      <c r="D9" s="1">
        <v>37894</v>
      </c>
      <c r="E9">
        <v>3</v>
      </c>
      <c r="F9" s="12">
        <v>79.924</v>
      </c>
      <c r="G9" s="3">
        <f>PRODUCT(F9/3.6)</f>
        <v>22.201111111111114</v>
      </c>
      <c r="H9" s="6">
        <v>10.79</v>
      </c>
      <c r="I9" s="2">
        <f>PRODUCT(H9*3.6)</f>
        <v>38.844</v>
      </c>
      <c r="J9" s="2">
        <f>PRODUCT(F9*H9/12*E9)</f>
        <v>215.59499</v>
      </c>
      <c r="K9" s="2">
        <f>PRODUCT(G9*I9/12*E9)</f>
        <v>215.59499</v>
      </c>
      <c r="M9" s="26"/>
      <c r="N9" s="27"/>
      <c r="O9" s="27"/>
      <c r="P9" s="27"/>
      <c r="Q9" s="28"/>
    </row>
    <row r="10" spans="2:17" ht="12.75">
      <c r="B10" s="1">
        <v>37895</v>
      </c>
      <c r="C10" t="s">
        <v>27</v>
      </c>
      <c r="D10" s="1">
        <v>37986</v>
      </c>
      <c r="E10">
        <v>3</v>
      </c>
      <c r="F10" s="12">
        <v>79.924</v>
      </c>
      <c r="G10" s="3">
        <f>PRODUCT(F10/3.6)</f>
        <v>22.201111111111114</v>
      </c>
      <c r="H10" s="6">
        <v>10.79</v>
      </c>
      <c r="I10" s="2">
        <f>PRODUCT(H10*3.6)</f>
        <v>38.844</v>
      </c>
      <c r="J10" s="2">
        <f>PRODUCT(F10*H10/12*E10)</f>
        <v>215.59499</v>
      </c>
      <c r="K10" s="2">
        <f>PRODUCT(G10*I10/12*E10)</f>
        <v>215.59499</v>
      </c>
      <c r="M10" s="26"/>
      <c r="N10" s="27"/>
      <c r="O10" s="27"/>
      <c r="P10" s="27"/>
      <c r="Q10" s="28"/>
    </row>
    <row r="11" spans="13:17" ht="12.75">
      <c r="M11" s="26"/>
      <c r="N11" s="27"/>
      <c r="O11" s="27"/>
      <c r="P11" s="27"/>
      <c r="Q11" s="28"/>
    </row>
    <row r="12" spans="7:17" ht="12.75">
      <c r="G12" s="10" t="s">
        <v>32</v>
      </c>
      <c r="H12" s="10"/>
      <c r="I12" s="10"/>
      <c r="J12" s="7">
        <f>SUM(J7:J10)</f>
        <v>862.37996</v>
      </c>
      <c r="K12" s="2">
        <f>SUM(K7:K10)</f>
        <v>862.37996</v>
      </c>
      <c r="M12" s="29">
        <f>PRODUCT((G7*N4)*12*1.19)</f>
        <v>554.8057666666667</v>
      </c>
      <c r="N12" s="30" t="s">
        <v>86</v>
      </c>
      <c r="O12" s="30"/>
      <c r="P12" s="30"/>
      <c r="Q12" s="28"/>
    </row>
    <row r="13" spans="13:17" ht="12.75">
      <c r="M13" s="26"/>
      <c r="N13" s="27"/>
      <c r="O13" s="27"/>
      <c r="P13" s="27"/>
      <c r="Q13" s="28"/>
    </row>
    <row r="14" spans="13:17" ht="12.75">
      <c r="M14" s="26"/>
      <c r="N14" s="27"/>
      <c r="O14" s="27"/>
      <c r="P14" s="27"/>
      <c r="Q14" s="28"/>
    </row>
    <row r="15" spans="6:17" ht="12.75">
      <c r="F15" t="s">
        <v>33</v>
      </c>
      <c r="G15" t="s">
        <v>33</v>
      </c>
      <c r="H15" t="s">
        <v>30</v>
      </c>
      <c r="M15" s="26"/>
      <c r="N15" s="27"/>
      <c r="O15" s="27"/>
      <c r="P15" s="27"/>
      <c r="Q15" s="28"/>
    </row>
    <row r="16" spans="6:17" ht="12.75">
      <c r="F16" t="s">
        <v>34</v>
      </c>
      <c r="G16" t="s">
        <v>55</v>
      </c>
      <c r="H16" t="s">
        <v>35</v>
      </c>
      <c r="M16" s="31" t="s">
        <v>82</v>
      </c>
      <c r="N16" s="32">
        <v>0.06</v>
      </c>
      <c r="O16" s="27" t="s">
        <v>84</v>
      </c>
      <c r="P16" s="27"/>
      <c r="Q16" s="28"/>
    </row>
    <row r="17" spans="13:17" ht="12.75">
      <c r="M17" s="26"/>
      <c r="N17" s="27"/>
      <c r="O17" s="27"/>
      <c r="P17" s="27"/>
      <c r="Q17" s="28"/>
    </row>
    <row r="18" spans="2:17" ht="12.75">
      <c r="B18" s="1">
        <v>37622</v>
      </c>
      <c r="C18" t="s">
        <v>27</v>
      </c>
      <c r="D18" s="1">
        <v>37711</v>
      </c>
      <c r="F18">
        <v>10.843</v>
      </c>
      <c r="G18">
        <f>PRODUCT(F18*1000)</f>
        <v>10843</v>
      </c>
      <c r="H18" s="12">
        <v>34</v>
      </c>
      <c r="J18" s="2">
        <f>PRODUCT(F18*H18)</f>
        <v>368.662</v>
      </c>
      <c r="M18" s="33">
        <f>PRODUCT(G18*N16*1.19)</f>
        <v>774.1901999999999</v>
      </c>
      <c r="N18" s="27"/>
      <c r="O18" s="27"/>
      <c r="P18" s="27"/>
      <c r="Q18" s="28"/>
    </row>
    <row r="19" spans="2:17" ht="12.75">
      <c r="B19" s="1">
        <v>37712</v>
      </c>
      <c r="C19" t="s">
        <v>27</v>
      </c>
      <c r="D19" s="1">
        <v>37802</v>
      </c>
      <c r="F19" s="3">
        <v>3.519</v>
      </c>
      <c r="G19">
        <f>PRODUCT(F19*1000)</f>
        <v>3519</v>
      </c>
      <c r="H19" s="12">
        <v>34</v>
      </c>
      <c r="J19">
        <f>PRODUCT(F19*H19)</f>
        <v>119.646</v>
      </c>
      <c r="M19" s="33">
        <f>PRODUCT(G19*N16*1.19)</f>
        <v>251.25659999999996</v>
      </c>
      <c r="N19" s="27"/>
      <c r="O19" s="27"/>
      <c r="P19" s="27"/>
      <c r="Q19" s="28"/>
    </row>
    <row r="20" spans="2:17" ht="12.75">
      <c r="B20" s="1">
        <v>37803</v>
      </c>
      <c r="C20" t="s">
        <v>27</v>
      </c>
      <c r="D20" s="1">
        <v>37894</v>
      </c>
      <c r="F20" s="3">
        <v>1.421</v>
      </c>
      <c r="G20">
        <f>PRODUCT(F20*1000)</f>
        <v>1421</v>
      </c>
      <c r="H20" s="12">
        <v>34</v>
      </c>
      <c r="J20" s="2">
        <f>PRODUCT(F20*H20)</f>
        <v>48.314</v>
      </c>
      <c r="M20" s="33">
        <f>PRODUCT(G20*N16*1.19)</f>
        <v>101.45939999999999</v>
      </c>
      <c r="N20" s="27"/>
      <c r="O20" s="27"/>
      <c r="P20" s="27"/>
      <c r="Q20" s="28"/>
    </row>
    <row r="21" spans="2:17" ht="12.75">
      <c r="B21" s="1">
        <v>37895</v>
      </c>
      <c r="C21" t="s">
        <v>27</v>
      </c>
      <c r="D21" s="1">
        <v>37986</v>
      </c>
      <c r="F21" s="3">
        <v>10.262</v>
      </c>
      <c r="G21">
        <f>PRODUCT(F21*1000)</f>
        <v>10262</v>
      </c>
      <c r="H21" s="12">
        <v>34</v>
      </c>
      <c r="J21" s="2">
        <f>PRODUCT(F21*H21)</f>
        <v>348.908</v>
      </c>
      <c r="M21" s="33">
        <f>PRODUCT(G21*N16*1.19)</f>
        <v>732.7068</v>
      </c>
      <c r="N21" s="27"/>
      <c r="O21" s="27"/>
      <c r="P21" s="27"/>
      <c r="Q21" s="28"/>
    </row>
    <row r="22" spans="2:17" ht="12.75">
      <c r="B22" s="1"/>
      <c r="D22" s="1"/>
      <c r="F22" s="3"/>
      <c r="J22" s="2"/>
      <c r="M22" s="26"/>
      <c r="N22" s="27"/>
      <c r="O22" s="27"/>
      <c r="P22" s="27"/>
      <c r="Q22" s="28"/>
    </row>
    <row r="23" spans="2:17" ht="12.75">
      <c r="B23" s="1"/>
      <c r="D23" s="1"/>
      <c r="F23" s="3"/>
      <c r="G23" s="10" t="s">
        <v>56</v>
      </c>
      <c r="H23" s="10"/>
      <c r="I23" s="10"/>
      <c r="J23" s="7">
        <f>SUM(J18:J21)</f>
        <v>885.53</v>
      </c>
      <c r="M23" s="29">
        <f>SUM(M18:M21)</f>
        <v>1859.6129999999998</v>
      </c>
      <c r="N23" s="30" t="s">
        <v>89</v>
      </c>
      <c r="O23" s="27"/>
      <c r="P23" s="27"/>
      <c r="Q23" s="28"/>
    </row>
    <row r="24" spans="2:17" ht="12.75">
      <c r="B24" s="1"/>
      <c r="D24" s="1"/>
      <c r="F24" s="3"/>
      <c r="M24" s="26"/>
      <c r="N24" s="27"/>
      <c r="O24" s="27"/>
      <c r="P24" s="27"/>
      <c r="Q24" s="28"/>
    </row>
    <row r="25" spans="2:17" ht="12.75">
      <c r="B25" s="1"/>
      <c r="D25" s="9" t="s">
        <v>43</v>
      </c>
      <c r="E25" s="10"/>
      <c r="F25" s="11">
        <f>SUM(F18:F21)</f>
        <v>26.045</v>
      </c>
      <c r="M25" s="26"/>
      <c r="N25" s="27"/>
      <c r="O25" s="27"/>
      <c r="P25" s="27"/>
      <c r="Q25" s="28"/>
    </row>
    <row r="26" spans="2:17" ht="12.75">
      <c r="B26" s="1"/>
      <c r="D26" s="9" t="s">
        <v>45</v>
      </c>
      <c r="E26" s="10"/>
      <c r="F26" s="11">
        <f>PRODUCT(F25*1000)</f>
        <v>26045</v>
      </c>
      <c r="H26" s="15" t="s">
        <v>48</v>
      </c>
      <c r="I26" s="16">
        <f>PRODUCT(F26/10)</f>
        <v>2604.5</v>
      </c>
      <c r="M26" s="34" t="s">
        <v>85</v>
      </c>
      <c r="N26" s="27"/>
      <c r="O26" s="27"/>
      <c r="P26" s="27"/>
      <c r="Q26" s="28"/>
    </row>
    <row r="27" spans="8:17" ht="12.75">
      <c r="H27" s="15" t="s">
        <v>65</v>
      </c>
      <c r="I27" s="16">
        <f>PRODUCT(I26*E38)</f>
        <v>1093.8899999999999</v>
      </c>
      <c r="M27" s="26"/>
      <c r="N27" s="27"/>
      <c r="O27" s="27"/>
      <c r="P27" s="27"/>
      <c r="Q27" s="28"/>
    </row>
    <row r="28" spans="4:17" ht="12.75">
      <c r="D28" t="s">
        <v>40</v>
      </c>
      <c r="E28" t="s">
        <v>41</v>
      </c>
      <c r="F28" t="s">
        <v>42</v>
      </c>
      <c r="M28" s="29">
        <f>SUM(M12+M18+M19+M20+M21)</f>
        <v>2414.4187666666667</v>
      </c>
      <c r="N28" s="30" t="s">
        <v>49</v>
      </c>
      <c r="O28" s="32" t="s">
        <v>88</v>
      </c>
      <c r="P28" s="32"/>
      <c r="Q28" s="38">
        <f>SUM(F34-M28)</f>
        <v>-334.4059142666665</v>
      </c>
    </row>
    <row r="29" spans="2:17" ht="12.75">
      <c r="B29" t="s">
        <v>36</v>
      </c>
      <c r="D29" s="2">
        <f>SUM(J7+J18)</f>
        <v>584.25699</v>
      </c>
      <c r="E29" s="2">
        <f>PRODUCT(D29/100*19)</f>
        <v>111.0088281</v>
      </c>
      <c r="F29" s="2">
        <f>SUM(D29+E29)</f>
        <v>695.2658180999999</v>
      </c>
      <c r="G29" t="s">
        <v>49</v>
      </c>
      <c r="M29" s="35"/>
      <c r="N29" s="36"/>
      <c r="O29" s="36"/>
      <c r="P29" s="36"/>
      <c r="Q29" s="37"/>
    </row>
    <row r="30" spans="2:7" ht="12.75">
      <c r="B30" t="s">
        <v>37</v>
      </c>
      <c r="D30" s="2">
        <f>SUM(J8+J19)</f>
        <v>335.24099</v>
      </c>
      <c r="E30" s="2">
        <f>SUM(D30/100*19)</f>
        <v>63.6957881</v>
      </c>
      <c r="F30" s="2">
        <f>SUM(D30+E30)</f>
        <v>398.9367781</v>
      </c>
      <c r="G30" t="s">
        <v>49</v>
      </c>
    </row>
    <row r="31" spans="2:7" ht="12.75">
      <c r="B31" t="s">
        <v>38</v>
      </c>
      <c r="D31" s="2">
        <f>SUM(J9+J20)</f>
        <v>263.90899</v>
      </c>
      <c r="E31" s="2">
        <f>SUM(D31/100*19)</f>
        <v>50.1427081</v>
      </c>
      <c r="F31" s="2">
        <f>SUM(D31+E31)</f>
        <v>314.0516981</v>
      </c>
      <c r="G31" t="s">
        <v>49</v>
      </c>
    </row>
    <row r="32" spans="2:7" ht="12.75">
      <c r="B32" t="s">
        <v>39</v>
      </c>
      <c r="D32" s="2">
        <f>SUM(J10+J21)</f>
        <v>564.50299</v>
      </c>
      <c r="E32" s="2">
        <f>SUM(D32/100*19)</f>
        <v>107.2555681</v>
      </c>
      <c r="F32" s="2">
        <f>SUM(D32+E32)</f>
        <v>671.7585581</v>
      </c>
      <c r="G32" t="s">
        <v>49</v>
      </c>
    </row>
    <row r="34" spans="4:11" ht="12.75">
      <c r="D34" s="10" t="s">
        <v>44</v>
      </c>
      <c r="E34" s="10"/>
      <c r="F34" s="7">
        <f>SUM(F29:F32)</f>
        <v>2080.0128524</v>
      </c>
      <c r="G34" s="10" t="s">
        <v>49</v>
      </c>
      <c r="H34" t="s">
        <v>58</v>
      </c>
      <c r="J34" s="8">
        <f>'2002'!F34</f>
        <v>2084.0136324</v>
      </c>
      <c r="K34" s="10" t="s">
        <v>49</v>
      </c>
    </row>
    <row r="35" spans="8:11" ht="12.75">
      <c r="H35" t="s">
        <v>59</v>
      </c>
      <c r="J35" s="8">
        <f>SUM(F34-J34)/(J34/100)</f>
        <v>-0.19197475188261873</v>
      </c>
      <c r="K35" s="10" t="s">
        <v>62</v>
      </c>
    </row>
    <row r="37" spans="2:7" ht="12.75">
      <c r="B37" s="10" t="s">
        <v>46</v>
      </c>
      <c r="C37" s="10"/>
      <c r="D37" s="10"/>
      <c r="E37" s="10"/>
      <c r="F37" s="7">
        <f>PRODUCT(F34/F25)</f>
        <v>79.86227116145133</v>
      </c>
      <c r="G37" s="10" t="s">
        <v>49</v>
      </c>
    </row>
    <row r="38" spans="2:8" ht="12.75">
      <c r="B38" s="10" t="s">
        <v>47</v>
      </c>
      <c r="C38" s="10"/>
      <c r="E38" s="5">
        <v>0.42</v>
      </c>
      <c r="F38" s="10">
        <f>PRODUCT(E38*100)</f>
        <v>42</v>
      </c>
      <c r="G38" s="10" t="s">
        <v>49</v>
      </c>
      <c r="H38" t="s">
        <v>63</v>
      </c>
    </row>
    <row r="39" spans="2:7" ht="12.75">
      <c r="B39" s="10" t="s">
        <v>60</v>
      </c>
      <c r="C39" s="10"/>
      <c r="E39" s="5"/>
      <c r="F39" s="7">
        <f>SUM(F37-F38)</f>
        <v>37.86227116145133</v>
      </c>
      <c r="G39" s="10" t="s">
        <v>49</v>
      </c>
    </row>
    <row r="40" spans="2:7" ht="12.75">
      <c r="B40" s="10" t="s">
        <v>61</v>
      </c>
      <c r="C40" s="10"/>
      <c r="E40" s="5"/>
      <c r="F40" s="7">
        <f>PRODUCT(F39*F25)</f>
        <v>986.1228524</v>
      </c>
      <c r="G40" s="10" t="s">
        <v>49</v>
      </c>
    </row>
    <row r="42" spans="2:6" ht="12.75">
      <c r="B42" t="s">
        <v>51</v>
      </c>
      <c r="E42" s="5">
        <v>1600</v>
      </c>
      <c r="F42" t="s">
        <v>53</v>
      </c>
    </row>
    <row r="44" spans="2:9" ht="12.75">
      <c r="B44" s="10" t="s">
        <v>52</v>
      </c>
      <c r="C44" s="10"/>
      <c r="D44" s="10"/>
      <c r="E44" s="10"/>
      <c r="F44" s="10"/>
      <c r="G44" s="10"/>
      <c r="H44" s="11">
        <f>PRODUCT(F26/E42)</f>
        <v>16.278125</v>
      </c>
      <c r="I44" s="10" t="s">
        <v>16</v>
      </c>
    </row>
    <row r="45" spans="2:9" ht="12.75">
      <c r="B45" s="10"/>
      <c r="C45" s="10"/>
      <c r="D45" s="10"/>
      <c r="E45" s="10"/>
      <c r="F45" s="10"/>
      <c r="G45" s="10"/>
      <c r="H45" s="11">
        <f>PRODUCT(H44*3.6)</f>
        <v>58.60125</v>
      </c>
      <c r="I45" s="10" t="s">
        <v>57</v>
      </c>
    </row>
    <row r="48" ht="12.75">
      <c r="D48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Fernheizwerk</dc:title>
  <dc:subject>Effizienz - für WEN</dc:subject>
  <dc:creator/>
  <cp:keywords/>
  <dc:description/>
  <cp:lastModifiedBy>Wolfgang Wagner </cp:lastModifiedBy>
  <dcterms:created xsi:type="dcterms:W3CDTF">2008-12-17T13:58:57Z</dcterms:created>
  <dcterms:modified xsi:type="dcterms:W3CDTF">2009-03-29T07:34:33Z</dcterms:modified>
  <cp:category/>
  <cp:version/>
  <cp:contentType/>
  <cp:contentStatus/>
</cp:coreProperties>
</file>